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570" yWindow="180" windowWidth="18120" windowHeight="8310" activeTab="0"/>
  </bookViews>
  <sheets>
    <sheet name="2-allele simulation" sheetId="1" r:id="rId1"/>
    <sheet name="3-allele simulation" sheetId="2" r:id="rId2"/>
    <sheet name="4-allele simulation" sheetId="3" r:id="rId3"/>
  </sheets>
  <externalReferences>
    <externalReference r:id="rId6"/>
  </externalReferences>
  <definedNames>
    <definedName name="A">'4-allele simulation'!$C$3</definedName>
    <definedName name="B">'4-allele simulation'!$C$4</definedName>
    <definedName name="Cz">'4-allele simulation'!$C$5</definedName>
    <definedName name="D">'4-allele simulation'!$C$6</definedName>
    <definedName name="solver_adj" hidden="1">'[1]D21S11:mixture anal of fga (MTNO) (4)'!$K$2</definedName>
    <definedName name="solver_drv" hidden="1">1</definedName>
    <definedName name="solver_est" hidden="1">1</definedName>
    <definedName name="solver_itr" hidden="1">10000</definedName>
    <definedName name="solver_lin" hidden="1">0</definedName>
    <definedName name="solver_num" hidden="1">0</definedName>
    <definedName name="solver_nwt" hidden="1">1</definedName>
    <definedName name="solver_opt" hidden="1">'[1]D21S11:mixture anal of fga (MTNO) (4)'!$J$4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ol" hidden="1">0.05</definedName>
    <definedName name="solver_typ" hidden="1">2</definedName>
    <definedName name="solver_val" hidden="1">0</definedName>
  </definedNames>
  <calcPr fullCalcOnLoad="1"/>
</workbook>
</file>

<file path=xl/sharedStrings.xml><?xml version="1.0" encoding="utf-8"?>
<sst xmlns="http://schemas.openxmlformats.org/spreadsheetml/2006/main" count="158" uniqueCount="49">
  <si>
    <t>combination</t>
  </si>
  <si>
    <t>Expected proportions</t>
  </si>
  <si>
    <t>observed proportions</t>
  </si>
  <si>
    <t>difference</t>
  </si>
  <si>
    <t>A</t>
  </si>
  <si>
    <t>B</t>
  </si>
  <si>
    <t>C</t>
  </si>
  <si>
    <t>(residuals)</t>
  </si>
  <si>
    <t>AA,BC</t>
  </si>
  <si>
    <t>BB,AC</t>
  </si>
  <si>
    <t>CC,AB</t>
  </si>
  <si>
    <t>AB,AC</t>
  </si>
  <si>
    <t>BC,AC</t>
  </si>
  <si>
    <t>AB,BC</t>
  </si>
  <si>
    <t>BC,AA</t>
  </si>
  <si>
    <t>AC,BB</t>
  </si>
  <si>
    <t>AB,CC</t>
  </si>
  <si>
    <t>AC,AB</t>
  </si>
  <si>
    <t>AC,BC</t>
  </si>
  <si>
    <t>BC,AB</t>
  </si>
  <si>
    <t>D</t>
  </si>
  <si>
    <t>AB,CD</t>
  </si>
  <si>
    <t>AC,BD</t>
  </si>
  <si>
    <t>AD,BC</t>
  </si>
  <si>
    <t>BC,AD</t>
  </si>
  <si>
    <t>BD,AC</t>
  </si>
  <si>
    <t>CD,AB</t>
  </si>
  <si>
    <t>AA,AB</t>
  </si>
  <si>
    <t>AB,AB</t>
  </si>
  <si>
    <t>AA,BB</t>
  </si>
  <si>
    <t>AB,AA</t>
  </si>
  <si>
    <t>BB,AA</t>
  </si>
  <si>
    <t>AB,BB</t>
  </si>
  <si>
    <t>BB,AB</t>
  </si>
  <si>
    <t>SUM</t>
  </si>
  <si>
    <t>Insert Peak Height Information here</t>
  </si>
  <si>
    <t>Proportions</t>
  </si>
  <si>
    <t>Height</t>
  </si>
  <si>
    <t>Mx</t>
  </si>
  <si>
    <t>1-Mx</t>
  </si>
  <si>
    <t>Mx (conditioned)</t>
  </si>
  <si>
    <t xml:space="preserve">Mx </t>
  </si>
  <si>
    <t>Heterozygote balance</t>
  </si>
  <si>
    <t>PHR1</t>
  </si>
  <si>
    <t>PHR2</t>
  </si>
  <si>
    <t>Genotypyes</t>
  </si>
  <si>
    <t>Predictive Plot data</t>
  </si>
  <si>
    <t>NA</t>
  </si>
  <si>
    <t>Genotype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</si>
</sst>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-;\-* #,##0.0_-;_-* &quot;-&quot;??_-;_-@_-"/>
  </numFmts>
  <fonts count="1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Geneva"/>
      <family val="0"/>
    </font>
    <font>
      <sz val="8"/>
      <name val="Geneva"/>
      <family val="0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9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.25"/>
      <name val="Arial"/>
      <family val="0"/>
    </font>
    <font>
      <sz val="8.75"/>
      <name val="Arial"/>
      <family val="0"/>
    </font>
    <font>
      <b/>
      <sz val="8.25"/>
      <name val="Arial"/>
      <family val="0"/>
    </font>
    <font>
      <b/>
      <sz val="8.75"/>
      <name val="Arial"/>
      <family val="0"/>
    </font>
    <font>
      <b/>
      <sz val="10"/>
      <color indexed="10"/>
      <name val="Geneva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5" fontId="0" fillId="0" borderId="0" xfId="0" applyNumberFormat="1" applyAlignment="1">
      <alignment horizontal="center"/>
    </xf>
    <xf numFmtId="175" fontId="0" fillId="0" borderId="0" xfId="0" applyNumberFormat="1" applyFont="1" applyAlignment="1">
      <alignment horizontal="center"/>
    </xf>
    <xf numFmtId="175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15" applyNumberFormat="1" applyAlignment="1">
      <alignment/>
    </xf>
    <xf numFmtId="175" fontId="0" fillId="0" borderId="1" xfId="0" applyNumberFormat="1" applyBorder="1" applyAlignment="1">
      <alignment horizontal="center"/>
    </xf>
    <xf numFmtId="175" fontId="0" fillId="0" borderId="2" xfId="0" applyNumberFormat="1" applyBorder="1" applyAlignment="1">
      <alignment horizontal="center"/>
    </xf>
    <xf numFmtId="175" fontId="0" fillId="0" borderId="3" xfId="0" applyNumberFormat="1" applyBorder="1" applyAlignment="1">
      <alignment horizontal="center"/>
    </xf>
    <xf numFmtId="175" fontId="0" fillId="0" borderId="4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175" fontId="0" fillId="0" borderId="5" xfId="0" applyNumberFormat="1" applyBorder="1" applyAlignment="1">
      <alignment horizontal="center"/>
    </xf>
    <xf numFmtId="175" fontId="0" fillId="0" borderId="6" xfId="0" applyNumberFormat="1" applyBorder="1" applyAlignment="1">
      <alignment horizontal="center"/>
    </xf>
    <xf numFmtId="175" fontId="0" fillId="0" borderId="7" xfId="0" applyNumberFormat="1" applyBorder="1" applyAlignment="1">
      <alignment horizontal="center"/>
    </xf>
    <xf numFmtId="175" fontId="0" fillId="0" borderId="8" xfId="0" applyNumberForma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175" fontId="15" fillId="0" borderId="1" xfId="0" applyNumberFormat="1" applyFont="1" applyBorder="1" applyAlignment="1">
      <alignment horizontal="center"/>
    </xf>
    <xf numFmtId="2" fontId="15" fillId="0" borderId="2" xfId="0" applyNumberFormat="1" applyFont="1" applyBorder="1" applyAlignment="1">
      <alignment horizontal="center"/>
    </xf>
    <xf numFmtId="2" fontId="15" fillId="0" borderId="3" xfId="0" applyNumberFormat="1" applyFont="1" applyBorder="1" applyAlignment="1">
      <alignment horizontal="center"/>
    </xf>
    <xf numFmtId="175" fontId="15" fillId="0" borderId="4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15" fillId="0" borderId="5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175" fontId="15" fillId="0" borderId="6" xfId="0" applyNumberFormat="1" applyFont="1" applyBorder="1" applyAlignment="1">
      <alignment horizontal="center"/>
    </xf>
    <xf numFmtId="2" fontId="15" fillId="0" borderId="7" xfId="0" applyNumberFormat="1" applyFont="1" applyBorder="1" applyAlignment="1">
      <alignment horizontal="center"/>
    </xf>
    <xf numFmtId="2" fontId="15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15" fillId="0" borderId="4" xfId="0" applyNumberFormat="1" applyFont="1" applyBorder="1" applyAlignment="1">
      <alignment horizontal="center"/>
    </xf>
    <xf numFmtId="2" fontId="15" fillId="0" borderId="6" xfId="0" applyNumberFormat="1" applyFont="1" applyBorder="1" applyAlignment="1">
      <alignment horizontal="center"/>
    </xf>
    <xf numFmtId="175" fontId="15" fillId="0" borderId="2" xfId="0" applyNumberFormat="1" applyFont="1" applyBorder="1" applyAlignment="1">
      <alignment horizontal="center"/>
    </xf>
    <xf numFmtId="175" fontId="0" fillId="0" borderId="2" xfId="0" applyNumberFormat="1" applyBorder="1" applyAlignment="1">
      <alignment/>
    </xf>
    <xf numFmtId="175" fontId="15" fillId="0" borderId="0" xfId="0" applyNumberFormat="1" applyFont="1" applyBorder="1" applyAlignment="1">
      <alignment horizontal="center"/>
    </xf>
    <xf numFmtId="175" fontId="0" fillId="0" borderId="0" xfId="0" applyNumberFormat="1" applyBorder="1" applyAlignment="1">
      <alignment/>
    </xf>
    <xf numFmtId="175" fontId="15" fillId="0" borderId="7" xfId="0" applyNumberFormat="1" applyFont="1" applyBorder="1" applyAlignment="1">
      <alignment horizontal="center"/>
    </xf>
    <xf numFmtId="175" fontId="0" fillId="0" borderId="7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175" fontId="15" fillId="0" borderId="9" xfId="0" applyNumberFormat="1" applyFont="1" applyBorder="1" applyAlignment="1">
      <alignment horizontal="center"/>
    </xf>
    <xf numFmtId="175" fontId="15" fillId="0" borderId="10" xfId="0" applyNumberFormat="1" applyFont="1" applyBorder="1" applyAlignment="1">
      <alignment horizontal="center"/>
    </xf>
    <xf numFmtId="175" fontId="15" fillId="0" borderId="11" xfId="0" applyNumberFormat="1" applyFont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'2-allele simulation'!$J$22</c:f>
              <c:strCache>
                <c:ptCount val="1"/>
                <c:pt idx="0">
                  <c:v>AA,AB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'2-allele simulation'!$K$22:$AA$22</c:f>
              <c:numCache>
                <c:ptCount val="17"/>
                <c:pt idx="0">
                  <c:v>0.05012176582875762</c:v>
                </c:pt>
                <c:pt idx="1">
                  <c:v>0.03554113636736893</c:v>
                </c:pt>
                <c:pt idx="2">
                  <c:v>0.02346050690598022</c:v>
                </c:pt>
                <c:pt idx="3">
                  <c:v>0.013879877444591505</c:v>
                </c:pt>
                <c:pt idx="4">
                  <c:v>0.006799247983202791</c:v>
                </c:pt>
                <c:pt idx="5">
                  <c:v>0.0022186185218140853</c:v>
                </c:pt>
                <c:pt idx="6">
                  <c:v>0.0001379890604253797</c:v>
                </c:pt>
                <c:pt idx="7">
                  <c:v>0.0005573595990366693</c:v>
                </c:pt>
                <c:pt idx="8">
                  <c:v>0.0034767301376479624</c:v>
                </c:pt>
                <c:pt idx="9">
                  <c:v>0.008896100676259261</c:v>
                </c:pt>
                <c:pt idx="10">
                  <c:v>0.01681547121487055</c:v>
                </c:pt>
                <c:pt idx="11">
                  <c:v>0.027234841753481828</c:v>
                </c:pt>
                <c:pt idx="12">
                  <c:v>0.040154212292093115</c:v>
                </c:pt>
                <c:pt idx="13">
                  <c:v>0.05557358283070442</c:v>
                </c:pt>
                <c:pt idx="14">
                  <c:v>0.07349295336931572</c:v>
                </c:pt>
                <c:pt idx="15">
                  <c:v>0.09391232390792703</c:v>
                </c:pt>
                <c:pt idx="16">
                  <c:v>0.11683169444653828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'2-allele simulation'!$J$23</c:f>
              <c:strCache>
                <c:ptCount val="1"/>
                <c:pt idx="0">
                  <c:v>AB,AB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'2-allele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'2-allele simulation'!$K$23:$AA$23</c:f>
              <c:numCache>
                <c:ptCount val="17"/>
                <c:pt idx="0">
                  <c:v>0.08678302475153504</c:v>
                </c:pt>
                <c:pt idx="1">
                  <c:v>0.08678302475153504</c:v>
                </c:pt>
                <c:pt idx="2">
                  <c:v>0.08678302475153504</c:v>
                </c:pt>
                <c:pt idx="3">
                  <c:v>0.08678302475153504</c:v>
                </c:pt>
                <c:pt idx="4">
                  <c:v>0.08678302475153504</c:v>
                </c:pt>
                <c:pt idx="5">
                  <c:v>0.08678302475153504</c:v>
                </c:pt>
                <c:pt idx="6">
                  <c:v>0.08678302475153504</c:v>
                </c:pt>
                <c:pt idx="7">
                  <c:v>0.08678302475153504</c:v>
                </c:pt>
                <c:pt idx="8">
                  <c:v>0.08678302475153504</c:v>
                </c:pt>
                <c:pt idx="9">
                  <c:v>0.08678302475153504</c:v>
                </c:pt>
                <c:pt idx="10">
                  <c:v>0.08678302475153504</c:v>
                </c:pt>
                <c:pt idx="11">
                  <c:v>0.08678302475153504</c:v>
                </c:pt>
                <c:pt idx="12">
                  <c:v>0.08678302475153504</c:v>
                </c:pt>
                <c:pt idx="13">
                  <c:v>0.08678302475153504</c:v>
                </c:pt>
                <c:pt idx="14">
                  <c:v>0.08678302475153504</c:v>
                </c:pt>
                <c:pt idx="15">
                  <c:v>0.08678302475153504</c:v>
                </c:pt>
                <c:pt idx="16">
                  <c:v>0.08678302475153504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'2-allele simulation'!$J$24</c:f>
              <c:strCache>
                <c:ptCount val="1"/>
                <c:pt idx="0">
                  <c:v>AA,BB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'2-allele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'2-allele simulation'!$K$24:$AA$24</c:f>
              <c:numCache>
                <c:ptCount val="17"/>
                <c:pt idx="0">
                  <c:v>0.7400730961337544</c:v>
                </c:pt>
                <c:pt idx="1">
                  <c:v>0.6234118372109768</c:v>
                </c:pt>
                <c:pt idx="2">
                  <c:v>0.5167505782881996</c:v>
                </c:pt>
                <c:pt idx="3">
                  <c:v>0.42008931936542215</c:v>
                </c:pt>
                <c:pt idx="4">
                  <c:v>0.33342806044264467</c:v>
                </c:pt>
                <c:pt idx="5">
                  <c:v>0.2567668015198673</c:v>
                </c:pt>
                <c:pt idx="6">
                  <c:v>0.19010554259708984</c:v>
                </c:pt>
                <c:pt idx="7">
                  <c:v>0.1334442836743125</c:v>
                </c:pt>
                <c:pt idx="8">
                  <c:v>0.08678302475153504</c:v>
                </c:pt>
                <c:pt idx="9">
                  <c:v>0.0501217658287576</c:v>
                </c:pt>
                <c:pt idx="10">
                  <c:v>0.02346050690598022</c:v>
                </c:pt>
                <c:pt idx="11">
                  <c:v>0.006799247983202791</c:v>
                </c:pt>
                <c:pt idx="12">
                  <c:v>0.0001379890604253806</c:v>
                </c:pt>
                <c:pt idx="13">
                  <c:v>0.0034767301376479624</c:v>
                </c:pt>
                <c:pt idx="14">
                  <c:v>0.01681547121487056</c:v>
                </c:pt>
                <c:pt idx="15">
                  <c:v>0.040154212292093115</c:v>
                </c:pt>
                <c:pt idx="16">
                  <c:v>0.07349295336931572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'2-allele simulation'!$J$25</c:f>
              <c:strCache>
                <c:ptCount val="1"/>
                <c:pt idx="0">
                  <c:v>AB,AA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'2-allele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'2-allele simulation'!$K$25:$AA$25</c:f>
              <c:numCache>
                <c:ptCount val="17"/>
                <c:pt idx="0">
                  <c:v>0.11683169444653828</c:v>
                </c:pt>
                <c:pt idx="1">
                  <c:v>0.09391232390792703</c:v>
                </c:pt>
                <c:pt idx="2">
                  <c:v>0.07349295336931572</c:v>
                </c:pt>
                <c:pt idx="3">
                  <c:v>0.05557358283070442</c:v>
                </c:pt>
                <c:pt idx="4">
                  <c:v>0.04015421229209312</c:v>
                </c:pt>
                <c:pt idx="5">
                  <c:v>0.027234841753481828</c:v>
                </c:pt>
                <c:pt idx="6">
                  <c:v>0.01681547121487055</c:v>
                </c:pt>
                <c:pt idx="7">
                  <c:v>0.008896100676259257</c:v>
                </c:pt>
                <c:pt idx="8">
                  <c:v>0.0034767301376479624</c:v>
                </c:pt>
                <c:pt idx="9">
                  <c:v>0.0005573595990366693</c:v>
                </c:pt>
                <c:pt idx="10">
                  <c:v>0.0001379890604253797</c:v>
                </c:pt>
                <c:pt idx="11">
                  <c:v>0.0022186185218140853</c:v>
                </c:pt>
                <c:pt idx="12">
                  <c:v>0.006799247983202791</c:v>
                </c:pt>
                <c:pt idx="13">
                  <c:v>0.013879877444591505</c:v>
                </c:pt>
                <c:pt idx="14">
                  <c:v>0.02346050690598022</c:v>
                </c:pt>
                <c:pt idx="15">
                  <c:v>0.03554113636736893</c:v>
                </c:pt>
                <c:pt idx="16">
                  <c:v>0.05012176582875762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'2-allele simulation'!$J$26</c:f>
              <c:strCache>
                <c:ptCount val="1"/>
                <c:pt idx="0">
                  <c:v>BB,AA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'2-allele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'2-allele simulation'!$K$26:$AA$26</c:f>
              <c:numCache>
                <c:ptCount val="17"/>
                <c:pt idx="0">
                  <c:v>0.07349295336931572</c:v>
                </c:pt>
                <c:pt idx="1">
                  <c:v>0.04015421229209312</c:v>
                </c:pt>
                <c:pt idx="2">
                  <c:v>0.01681547121487055</c:v>
                </c:pt>
                <c:pt idx="3">
                  <c:v>0.0034767301376479624</c:v>
                </c:pt>
                <c:pt idx="4">
                  <c:v>0.0001379890604253797</c:v>
                </c:pt>
                <c:pt idx="5">
                  <c:v>0.006799247983202791</c:v>
                </c:pt>
                <c:pt idx="6">
                  <c:v>0.02346050690598022</c:v>
                </c:pt>
                <c:pt idx="7">
                  <c:v>0.05012176582875762</c:v>
                </c:pt>
                <c:pt idx="8">
                  <c:v>0.08678302475153504</c:v>
                </c:pt>
                <c:pt idx="9">
                  <c:v>0.13344428367431252</c:v>
                </c:pt>
                <c:pt idx="10">
                  <c:v>0.19010554259708984</c:v>
                </c:pt>
                <c:pt idx="11">
                  <c:v>0.2567668015198673</c:v>
                </c:pt>
                <c:pt idx="12">
                  <c:v>0.3334280604426446</c:v>
                </c:pt>
                <c:pt idx="13">
                  <c:v>0.42008931936542215</c:v>
                </c:pt>
                <c:pt idx="14">
                  <c:v>0.5167505782881997</c:v>
                </c:pt>
                <c:pt idx="15">
                  <c:v>0.6234118372109768</c:v>
                </c:pt>
                <c:pt idx="16">
                  <c:v>0.7400730961337544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'2-allele simulation'!$J$27</c:f>
              <c:strCache>
                <c:ptCount val="1"/>
                <c:pt idx="0">
                  <c:v>AB,BB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'2-allele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'2-allele simulation'!$K$27:$AA$27</c:f>
              <c:numCache>
                <c:ptCount val="17"/>
                <c:pt idx="0">
                  <c:v>0.8667343550565317</c:v>
                </c:pt>
                <c:pt idx="1">
                  <c:v>0.8021537255951432</c:v>
                </c:pt>
                <c:pt idx="2">
                  <c:v>0.7400730961337544</c:v>
                </c:pt>
                <c:pt idx="3">
                  <c:v>0.6804924666723657</c:v>
                </c:pt>
                <c:pt idx="4">
                  <c:v>0.6234118372109768</c:v>
                </c:pt>
                <c:pt idx="5">
                  <c:v>0.5688312077495883</c:v>
                </c:pt>
                <c:pt idx="6">
                  <c:v>0.5167505782881996</c:v>
                </c:pt>
                <c:pt idx="7">
                  <c:v>0.4671699488268109</c:v>
                </c:pt>
                <c:pt idx="8">
                  <c:v>0.42008931936542215</c:v>
                </c:pt>
                <c:pt idx="9">
                  <c:v>0.3755086899040334</c:v>
                </c:pt>
                <c:pt idx="10">
                  <c:v>0.33342806044264467</c:v>
                </c:pt>
                <c:pt idx="11">
                  <c:v>0.293847430981256</c:v>
                </c:pt>
                <c:pt idx="12">
                  <c:v>0.2567668015198673</c:v>
                </c:pt>
                <c:pt idx="13">
                  <c:v>0.22218617205847857</c:v>
                </c:pt>
                <c:pt idx="14">
                  <c:v>0.19010554259708984</c:v>
                </c:pt>
                <c:pt idx="15">
                  <c:v>0.16052491313570116</c:v>
                </c:pt>
                <c:pt idx="16">
                  <c:v>0.1334442836743125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'2-allele simulation'!$J$28</c:f>
              <c:strCache>
                <c:ptCount val="1"/>
                <c:pt idx="0">
                  <c:v>BB,AB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'2-allele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'2-allele simulation'!$K$28:$AA$28</c:f>
              <c:numCache>
                <c:ptCount val="17"/>
                <c:pt idx="0">
                  <c:v>0.1334442836743125</c:v>
                </c:pt>
                <c:pt idx="1">
                  <c:v>0.16052491313570116</c:v>
                </c:pt>
                <c:pt idx="2">
                  <c:v>0.19010554259708984</c:v>
                </c:pt>
                <c:pt idx="3">
                  <c:v>0.22218617205847857</c:v>
                </c:pt>
                <c:pt idx="4">
                  <c:v>0.2567668015198673</c:v>
                </c:pt>
                <c:pt idx="5">
                  <c:v>0.293847430981256</c:v>
                </c:pt>
                <c:pt idx="6">
                  <c:v>0.33342806044264467</c:v>
                </c:pt>
                <c:pt idx="7">
                  <c:v>0.3755086899040334</c:v>
                </c:pt>
                <c:pt idx="8">
                  <c:v>0.42008931936542215</c:v>
                </c:pt>
                <c:pt idx="9">
                  <c:v>0.4671699488268109</c:v>
                </c:pt>
                <c:pt idx="10">
                  <c:v>0.5167505782881996</c:v>
                </c:pt>
                <c:pt idx="11">
                  <c:v>0.5688312077495883</c:v>
                </c:pt>
                <c:pt idx="12">
                  <c:v>0.6234118372109768</c:v>
                </c:pt>
                <c:pt idx="13">
                  <c:v>0.6804924666723657</c:v>
                </c:pt>
                <c:pt idx="14">
                  <c:v>0.7400730961337544</c:v>
                </c:pt>
                <c:pt idx="15">
                  <c:v>0.8021537255951432</c:v>
                </c:pt>
                <c:pt idx="16">
                  <c:v>0.8667343550565318</c:v>
                </c:pt>
              </c:numCache>
            </c:numRef>
          </c:yVal>
          <c:smooth val="1"/>
        </c:ser>
        <c:axId val="54690001"/>
        <c:axId val="22447962"/>
      </c:scatterChart>
      <c:valAx>
        <c:axId val="54690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Mx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47962"/>
        <c:crossesAt val="1E-07"/>
        <c:crossBetween val="midCat"/>
        <c:dispUnits/>
      </c:valAx>
      <c:valAx>
        <c:axId val="2244796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900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'3-allele simulation'!$J$22</c:f>
              <c:strCache>
                <c:ptCount val="1"/>
                <c:pt idx="0">
                  <c:v>AA,BC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simulation'!$K$22:$AA$22</c:f>
              <c:numCache>
                <c:ptCount val="17"/>
                <c:pt idx="0">
                  <c:v>0.13269536896165052</c:v>
                </c:pt>
                <c:pt idx="1">
                  <c:v>0.10374594948196872</c:v>
                </c:pt>
                <c:pt idx="2">
                  <c:v>0.0822965300022869</c:v>
                </c:pt>
                <c:pt idx="3">
                  <c:v>0.06834711052260511</c:v>
                </c:pt>
                <c:pt idx="4">
                  <c:v>0.061897691042923315</c:v>
                </c:pt>
                <c:pt idx="5">
                  <c:v>0.06294827156324152</c:v>
                </c:pt>
                <c:pt idx="6">
                  <c:v>0.07149885208355973</c:v>
                </c:pt>
                <c:pt idx="7">
                  <c:v>0.08754943260387793</c:v>
                </c:pt>
                <c:pt idx="8">
                  <c:v>0.11110001312419614</c:v>
                </c:pt>
                <c:pt idx="9">
                  <c:v>0.14215059364451435</c:v>
                </c:pt>
                <c:pt idx="10">
                  <c:v>0.18070117416483253</c:v>
                </c:pt>
                <c:pt idx="11">
                  <c:v>0.2267517546851508</c:v>
                </c:pt>
                <c:pt idx="12">
                  <c:v>0.2803023352054689</c:v>
                </c:pt>
                <c:pt idx="13">
                  <c:v>0.3413529157257872</c:v>
                </c:pt>
                <c:pt idx="14">
                  <c:v>0.40990349624610545</c:v>
                </c:pt>
                <c:pt idx="15">
                  <c:v>0.48595407676642355</c:v>
                </c:pt>
                <c:pt idx="16">
                  <c:v>0.5695046572867418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'3-allele simulation'!$J$23</c:f>
              <c:strCache>
                <c:ptCount val="1"/>
                <c:pt idx="0">
                  <c:v>BB,AC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simulation'!$K$23:$AA$23</c:f>
              <c:numCache>
                <c:ptCount val="17"/>
                <c:pt idx="0">
                  <c:v>0.27146122576663867</c:v>
                </c:pt>
                <c:pt idx="1">
                  <c:v>0.21277626554303078</c:v>
                </c:pt>
                <c:pt idx="2">
                  <c:v>0.16159130531942298</c:v>
                </c:pt>
                <c:pt idx="3">
                  <c:v>0.11790634509581514</c:v>
                </c:pt>
                <c:pt idx="4">
                  <c:v>0.08172138487220733</c:v>
                </c:pt>
                <c:pt idx="5">
                  <c:v>0.05303642464859952</c:v>
                </c:pt>
                <c:pt idx="6">
                  <c:v>0.031851464424991684</c:v>
                </c:pt>
                <c:pt idx="7">
                  <c:v>0.018166504201383875</c:v>
                </c:pt>
                <c:pt idx="8">
                  <c:v>0.011981543977776055</c:v>
                </c:pt>
                <c:pt idx="9">
                  <c:v>0.013296583754168239</c:v>
                </c:pt>
                <c:pt idx="10">
                  <c:v>0.02211162353056041</c:v>
                </c:pt>
                <c:pt idx="11">
                  <c:v>0.03842666330695261</c:v>
                </c:pt>
                <c:pt idx="12">
                  <c:v>0.06224170308334476</c:v>
                </c:pt>
                <c:pt idx="13">
                  <c:v>0.09355674285973695</c:v>
                </c:pt>
                <c:pt idx="14">
                  <c:v>0.13237178263612917</c:v>
                </c:pt>
                <c:pt idx="15">
                  <c:v>0.1786868224125213</c:v>
                </c:pt>
                <c:pt idx="16">
                  <c:v>0.2325018621889135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'3-allele simulation'!$J$24</c:f>
              <c:strCache>
                <c:ptCount val="1"/>
                <c:pt idx="0">
                  <c:v>CC,AB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simulation'!$K$24:$AA$24</c:f>
              <c:numCache>
                <c:ptCount val="17"/>
                <c:pt idx="0">
                  <c:v>0.026137639441117258</c:v>
                </c:pt>
                <c:pt idx="1">
                  <c:v>0.02002201914440687</c:v>
                </c:pt>
                <c:pt idx="2">
                  <c:v>0.021406398847696483</c:v>
                </c:pt>
                <c:pt idx="3">
                  <c:v>0.030290778550986098</c:v>
                </c:pt>
                <c:pt idx="4">
                  <c:v>0.04667515825427571</c:v>
                </c:pt>
                <c:pt idx="5">
                  <c:v>0.07055953795756531</c:v>
                </c:pt>
                <c:pt idx="6">
                  <c:v>0.10194391766085495</c:v>
                </c:pt>
                <c:pt idx="7">
                  <c:v>0.14082829736414457</c:v>
                </c:pt>
                <c:pt idx="8">
                  <c:v>0.18721267706743414</c:v>
                </c:pt>
                <c:pt idx="9">
                  <c:v>0.2410970567707238</c:v>
                </c:pt>
                <c:pt idx="10">
                  <c:v>0.3024814364740133</c:v>
                </c:pt>
                <c:pt idx="11">
                  <c:v>0.371365816177303</c:v>
                </c:pt>
                <c:pt idx="12">
                  <c:v>0.4477501958805925</c:v>
                </c:pt>
                <c:pt idx="13">
                  <c:v>0.5316345755838823</c:v>
                </c:pt>
                <c:pt idx="14">
                  <c:v>0.6230189552871719</c:v>
                </c:pt>
                <c:pt idx="15">
                  <c:v>0.7219033349904613</c:v>
                </c:pt>
                <c:pt idx="16">
                  <c:v>0.8282877146937511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'3-allele simulation'!$J$25</c:f>
              <c:strCache>
                <c:ptCount val="1"/>
                <c:pt idx="0">
                  <c:v>AB,AC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simulation'!$K$25:$AA$25</c:f>
              <c:numCache>
                <c:ptCount val="17"/>
                <c:pt idx="0">
                  <c:v>0.33128491959592266</c:v>
                </c:pt>
                <c:pt idx="1">
                  <c:v>0.2950118062869568</c:v>
                </c:pt>
                <c:pt idx="2">
                  <c:v>0.261238692977991</c:v>
                </c:pt>
                <c:pt idx="3">
                  <c:v>0.2299655796690252</c:v>
                </c:pt>
                <c:pt idx="4">
                  <c:v>0.20119246636005936</c:v>
                </c:pt>
                <c:pt idx="5">
                  <c:v>0.17491935305109357</c:v>
                </c:pt>
                <c:pt idx="6">
                  <c:v>0.15114623974212776</c:v>
                </c:pt>
                <c:pt idx="7">
                  <c:v>0.12987312643316196</c:v>
                </c:pt>
                <c:pt idx="8">
                  <c:v>0.11110001312419614</c:v>
                </c:pt>
                <c:pt idx="9">
                  <c:v>0.0948268998152303</c:v>
                </c:pt>
                <c:pt idx="10">
                  <c:v>0.08105378650626452</c:v>
                </c:pt>
                <c:pt idx="11">
                  <c:v>0.0697806731972987</c:v>
                </c:pt>
                <c:pt idx="12">
                  <c:v>0.061007559888332896</c:v>
                </c:pt>
                <c:pt idx="13">
                  <c:v>0.05473444657936708</c:v>
                </c:pt>
                <c:pt idx="14">
                  <c:v>0.05096133327040127</c:v>
                </c:pt>
                <c:pt idx="15">
                  <c:v>0.04968821996143546</c:v>
                </c:pt>
                <c:pt idx="16">
                  <c:v>0.05091510665246965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'3-allele simulation'!$J$26</c:f>
              <c:strCache>
                <c:ptCount val="1"/>
                <c:pt idx="0">
                  <c:v>BC,AC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simulation'!$K$26:$AA$26</c:f>
              <c:numCache>
                <c:ptCount val="17"/>
                <c:pt idx="0">
                  <c:v>0.34650745238457026</c:v>
                </c:pt>
                <c:pt idx="1">
                  <c:v>0.3178456054699282</c:v>
                </c:pt>
                <c:pt idx="2">
                  <c:v>0.2916837585552862</c:v>
                </c:pt>
                <c:pt idx="3">
                  <c:v>0.26802191164064415</c:v>
                </c:pt>
                <c:pt idx="4">
                  <c:v>0.24686006472600214</c:v>
                </c:pt>
                <c:pt idx="5">
                  <c:v>0.22819821781136018</c:v>
                </c:pt>
                <c:pt idx="6">
                  <c:v>0.21203637089671817</c:v>
                </c:pt>
                <c:pt idx="7">
                  <c:v>0.19837452398207617</c:v>
                </c:pt>
                <c:pt idx="8">
                  <c:v>0.18721267706743414</c:v>
                </c:pt>
                <c:pt idx="9">
                  <c:v>0.17855083015279213</c:v>
                </c:pt>
                <c:pt idx="10">
                  <c:v>0.17238898323815013</c:v>
                </c:pt>
                <c:pt idx="11">
                  <c:v>0.1687271363235081</c:v>
                </c:pt>
                <c:pt idx="12">
                  <c:v>0.1675652894088661</c:v>
                </c:pt>
                <c:pt idx="13">
                  <c:v>0.1689034424942241</c:v>
                </c:pt>
                <c:pt idx="14">
                  <c:v>0.1727415955795821</c:v>
                </c:pt>
                <c:pt idx="15">
                  <c:v>0.17907974866494009</c:v>
                </c:pt>
                <c:pt idx="16">
                  <c:v>0.1879179017502981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'3-allele simulation'!$J$27</c:f>
              <c:strCache>
                <c:ptCount val="1"/>
                <c:pt idx="0">
                  <c:v>AB,BC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simulation'!$K$27:$AA$27</c:f>
              <c:numCache>
                <c:ptCount val="17"/>
                <c:pt idx="0">
                  <c:v>0.1528716751323665</c:v>
                </c:pt>
                <c:pt idx="1">
                  <c:v>0.12651040873804267</c:v>
                </c:pt>
                <c:pt idx="2">
                  <c:v>0.10264914234371889</c:v>
                </c:pt>
                <c:pt idx="3">
                  <c:v>0.08128787594939507</c:v>
                </c:pt>
                <c:pt idx="4">
                  <c:v>0.06242660955507126</c:v>
                </c:pt>
                <c:pt idx="5">
                  <c:v>0.046065343160747466</c:v>
                </c:pt>
                <c:pt idx="6">
                  <c:v>0.03220407676642366</c:v>
                </c:pt>
                <c:pt idx="7">
                  <c:v>0.02084281037209986</c:v>
                </c:pt>
                <c:pt idx="8">
                  <c:v>0.011981543977776055</c:v>
                </c:pt>
                <c:pt idx="9">
                  <c:v>0.005620277583452248</c:v>
                </c:pt>
                <c:pt idx="10">
                  <c:v>0.0017590111891284507</c:v>
                </c:pt>
                <c:pt idx="11">
                  <c:v>0.0003977447948046468</c:v>
                </c:pt>
                <c:pt idx="12">
                  <c:v>0.001536478400480842</c:v>
                </c:pt>
                <c:pt idx="13">
                  <c:v>0.005175212006157041</c:v>
                </c:pt>
                <c:pt idx="14">
                  <c:v>0.011313945611833246</c:v>
                </c:pt>
                <c:pt idx="15">
                  <c:v>0.01995267921750943</c:v>
                </c:pt>
                <c:pt idx="16">
                  <c:v>0.03109141282318564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'3-allele simulation'!$J$28</c:f>
              <c:strCache>
                <c:ptCount val="1"/>
                <c:pt idx="0">
                  <c:v>BC,AA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simulation'!$K$28:$AA$28</c:f>
              <c:numCache>
                <c:ptCount val="17"/>
                <c:pt idx="0">
                  <c:v>0.5695046572867418</c:v>
                </c:pt>
                <c:pt idx="1">
                  <c:v>0.48595407676642355</c:v>
                </c:pt>
                <c:pt idx="2">
                  <c:v>0.40990349624610545</c:v>
                </c:pt>
                <c:pt idx="3">
                  <c:v>0.3413529157257872</c:v>
                </c:pt>
                <c:pt idx="4">
                  <c:v>0.2803023352054689</c:v>
                </c:pt>
                <c:pt idx="5">
                  <c:v>0.2267517546851508</c:v>
                </c:pt>
                <c:pt idx="6">
                  <c:v>0.18070117416483253</c:v>
                </c:pt>
                <c:pt idx="7">
                  <c:v>0.14215059364451435</c:v>
                </c:pt>
                <c:pt idx="8">
                  <c:v>0.11110001312419614</c:v>
                </c:pt>
                <c:pt idx="9">
                  <c:v>0.0875494326038779</c:v>
                </c:pt>
                <c:pt idx="10">
                  <c:v>0.07149885208355973</c:v>
                </c:pt>
                <c:pt idx="11">
                  <c:v>0.06294827156324152</c:v>
                </c:pt>
                <c:pt idx="12">
                  <c:v>0.061897691042923315</c:v>
                </c:pt>
                <c:pt idx="13">
                  <c:v>0.06834711052260511</c:v>
                </c:pt>
                <c:pt idx="14">
                  <c:v>0.08229653000228693</c:v>
                </c:pt>
                <c:pt idx="15">
                  <c:v>0.1037459494819687</c:v>
                </c:pt>
                <c:pt idx="16">
                  <c:v>0.13269536896165052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'3-allele simulation'!$J$29</c:f>
              <c:strCache>
                <c:ptCount val="1"/>
                <c:pt idx="0">
                  <c:v>AC,BB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simulation'!$K$29:$AA$29</c:f>
              <c:numCache>
                <c:ptCount val="17"/>
                <c:pt idx="0">
                  <c:v>0.2325018621889135</c:v>
                </c:pt>
                <c:pt idx="1">
                  <c:v>0.1786868224125213</c:v>
                </c:pt>
                <c:pt idx="2">
                  <c:v>0.13237178263612917</c:v>
                </c:pt>
                <c:pt idx="3">
                  <c:v>0.09355674285973695</c:v>
                </c:pt>
                <c:pt idx="4">
                  <c:v>0.06224170308334476</c:v>
                </c:pt>
                <c:pt idx="5">
                  <c:v>0.03842666330695261</c:v>
                </c:pt>
                <c:pt idx="6">
                  <c:v>0.02211162353056041</c:v>
                </c:pt>
                <c:pt idx="7">
                  <c:v>0.013296583754168239</c:v>
                </c:pt>
                <c:pt idx="8">
                  <c:v>0.011981543977776055</c:v>
                </c:pt>
                <c:pt idx="9">
                  <c:v>0.018166504201383882</c:v>
                </c:pt>
                <c:pt idx="10">
                  <c:v>0.031851464424991684</c:v>
                </c:pt>
                <c:pt idx="11">
                  <c:v>0.05303642464859952</c:v>
                </c:pt>
                <c:pt idx="12">
                  <c:v>0.08172138487220731</c:v>
                </c:pt>
                <c:pt idx="13">
                  <c:v>0.11790634509581514</c:v>
                </c:pt>
                <c:pt idx="14">
                  <c:v>0.161591305319423</c:v>
                </c:pt>
                <c:pt idx="15">
                  <c:v>0.21277626554303078</c:v>
                </c:pt>
                <c:pt idx="16">
                  <c:v>0.27146122576663867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'3-allele simulation'!$J$30</c:f>
              <c:strCache>
                <c:ptCount val="1"/>
                <c:pt idx="0">
                  <c:v>AB,CC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simulation'!$K$30:$AA$30</c:f>
              <c:numCache>
                <c:ptCount val="17"/>
                <c:pt idx="0">
                  <c:v>0.8282877146937511</c:v>
                </c:pt>
                <c:pt idx="1">
                  <c:v>0.7219033349904613</c:v>
                </c:pt>
                <c:pt idx="2">
                  <c:v>0.6230189552871719</c:v>
                </c:pt>
                <c:pt idx="3">
                  <c:v>0.5316345755838823</c:v>
                </c:pt>
                <c:pt idx="4">
                  <c:v>0.4477501958805925</c:v>
                </c:pt>
                <c:pt idx="5">
                  <c:v>0.371365816177303</c:v>
                </c:pt>
                <c:pt idx="6">
                  <c:v>0.3024814364740133</c:v>
                </c:pt>
                <c:pt idx="7">
                  <c:v>0.2410970567707238</c:v>
                </c:pt>
                <c:pt idx="8">
                  <c:v>0.18721267706743414</c:v>
                </c:pt>
                <c:pt idx="9">
                  <c:v>0.14082829736414448</c:v>
                </c:pt>
                <c:pt idx="10">
                  <c:v>0.10194391766085495</c:v>
                </c:pt>
                <c:pt idx="11">
                  <c:v>0.07055953795756531</c:v>
                </c:pt>
                <c:pt idx="12">
                  <c:v>0.04667515825427573</c:v>
                </c:pt>
                <c:pt idx="13">
                  <c:v>0.030290778550986098</c:v>
                </c:pt>
                <c:pt idx="14">
                  <c:v>0.02140639884769648</c:v>
                </c:pt>
                <c:pt idx="15">
                  <c:v>0.02002201914440687</c:v>
                </c:pt>
                <c:pt idx="16">
                  <c:v>0.02613763944111726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'3-allele simulation'!$J$31</c:f>
              <c:strCache>
                <c:ptCount val="1"/>
                <c:pt idx="0">
                  <c:v>AC,AB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simulation'!$K$31:$AA$31</c:f>
              <c:numCache>
                <c:ptCount val="17"/>
                <c:pt idx="0">
                  <c:v>0.05091510665246965</c:v>
                </c:pt>
                <c:pt idx="1">
                  <c:v>0.04968821996143546</c:v>
                </c:pt>
                <c:pt idx="2">
                  <c:v>0.05096133327040127</c:v>
                </c:pt>
                <c:pt idx="3">
                  <c:v>0.05473444657936708</c:v>
                </c:pt>
                <c:pt idx="4">
                  <c:v>0.061007559888332896</c:v>
                </c:pt>
                <c:pt idx="5">
                  <c:v>0.0697806731972987</c:v>
                </c:pt>
                <c:pt idx="6">
                  <c:v>0.08105378650626452</c:v>
                </c:pt>
                <c:pt idx="7">
                  <c:v>0.0948268998152303</c:v>
                </c:pt>
                <c:pt idx="8">
                  <c:v>0.11110001312419614</c:v>
                </c:pt>
                <c:pt idx="9">
                  <c:v>0.12987312643316196</c:v>
                </c:pt>
                <c:pt idx="10">
                  <c:v>0.15114623974212776</c:v>
                </c:pt>
                <c:pt idx="11">
                  <c:v>0.17491935305109357</c:v>
                </c:pt>
                <c:pt idx="12">
                  <c:v>0.20119246636005936</c:v>
                </c:pt>
                <c:pt idx="13">
                  <c:v>0.2299655796690252</c:v>
                </c:pt>
                <c:pt idx="14">
                  <c:v>0.261238692977991</c:v>
                </c:pt>
                <c:pt idx="15">
                  <c:v>0.2950118062869568</c:v>
                </c:pt>
                <c:pt idx="16">
                  <c:v>0.33128491959592266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'3-allele simulation'!$J$32</c:f>
              <c:strCache>
                <c:ptCount val="1"/>
                <c:pt idx="0">
                  <c:v>AC,BC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simulation'!$K$32:$AA$32</c:f>
              <c:numCache>
                <c:ptCount val="17"/>
                <c:pt idx="0">
                  <c:v>0.1879179017502981</c:v>
                </c:pt>
                <c:pt idx="1">
                  <c:v>0.17907974866494009</c:v>
                </c:pt>
                <c:pt idx="2">
                  <c:v>0.1727415955795821</c:v>
                </c:pt>
                <c:pt idx="3">
                  <c:v>0.1689034424942241</c:v>
                </c:pt>
                <c:pt idx="4">
                  <c:v>0.1675652894088661</c:v>
                </c:pt>
                <c:pt idx="5">
                  <c:v>0.1687271363235081</c:v>
                </c:pt>
                <c:pt idx="6">
                  <c:v>0.17238898323815013</c:v>
                </c:pt>
                <c:pt idx="7">
                  <c:v>0.17855083015279213</c:v>
                </c:pt>
                <c:pt idx="8">
                  <c:v>0.18721267706743414</c:v>
                </c:pt>
                <c:pt idx="9">
                  <c:v>0.19837452398207617</c:v>
                </c:pt>
                <c:pt idx="10">
                  <c:v>0.21203637089671817</c:v>
                </c:pt>
                <c:pt idx="11">
                  <c:v>0.22819821781136018</c:v>
                </c:pt>
                <c:pt idx="12">
                  <c:v>0.24686006472600214</c:v>
                </c:pt>
                <c:pt idx="13">
                  <c:v>0.26802191164064415</c:v>
                </c:pt>
                <c:pt idx="14">
                  <c:v>0.2916837585552862</c:v>
                </c:pt>
                <c:pt idx="15">
                  <c:v>0.3178456054699282</c:v>
                </c:pt>
                <c:pt idx="16">
                  <c:v>0.34650745238457026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'3-allele simulation'!$J$33</c:f>
              <c:strCache>
                <c:ptCount val="1"/>
                <c:pt idx="0">
                  <c:v>BC,AB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simulation'!$K$33:$AA$33</c:f>
              <c:numCache>
                <c:ptCount val="17"/>
                <c:pt idx="0">
                  <c:v>0.03109141282318564</c:v>
                </c:pt>
                <c:pt idx="1">
                  <c:v>0.01995267921750943</c:v>
                </c:pt>
                <c:pt idx="2">
                  <c:v>0.011313945611833246</c:v>
                </c:pt>
                <c:pt idx="3">
                  <c:v>0.005175212006157041</c:v>
                </c:pt>
                <c:pt idx="4">
                  <c:v>0.001536478400480842</c:v>
                </c:pt>
                <c:pt idx="5">
                  <c:v>0.0003977447948046468</c:v>
                </c:pt>
                <c:pt idx="6">
                  <c:v>0.0017590111891284507</c:v>
                </c:pt>
                <c:pt idx="7">
                  <c:v>0.005620277583452248</c:v>
                </c:pt>
                <c:pt idx="8">
                  <c:v>0.011981543977776055</c:v>
                </c:pt>
                <c:pt idx="9">
                  <c:v>0.020842810372099868</c:v>
                </c:pt>
                <c:pt idx="10">
                  <c:v>0.03220407676642366</c:v>
                </c:pt>
                <c:pt idx="11">
                  <c:v>0.046065343160747466</c:v>
                </c:pt>
                <c:pt idx="12">
                  <c:v>0.06242660955507125</c:v>
                </c:pt>
                <c:pt idx="13">
                  <c:v>0.08128787594939507</c:v>
                </c:pt>
                <c:pt idx="14">
                  <c:v>0.10264914234371889</c:v>
                </c:pt>
                <c:pt idx="15">
                  <c:v>0.12651040873804267</c:v>
                </c:pt>
                <c:pt idx="16">
                  <c:v>0.1528716751323665</c:v>
                </c:pt>
              </c:numCache>
            </c:numRef>
          </c:yVal>
          <c:smooth val="1"/>
        </c:ser>
        <c:axId val="705067"/>
        <c:axId val="6345604"/>
      </c:scatterChart>
      <c:valAx>
        <c:axId val="705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Mx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5604"/>
        <c:crossesAt val="0.0001"/>
        <c:crossBetween val="midCat"/>
        <c:dispUnits/>
      </c:valAx>
      <c:valAx>
        <c:axId val="634560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Log residual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50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'3-allele simulation'!$E$3:$E$14</c:f>
              <c:strCache>
                <c:ptCount val="12"/>
                <c:pt idx="0">
                  <c:v>AA,BC</c:v>
                </c:pt>
                <c:pt idx="1">
                  <c:v>BB,AC</c:v>
                </c:pt>
                <c:pt idx="2">
                  <c:v>CC,AB</c:v>
                </c:pt>
                <c:pt idx="3">
                  <c:v>AB,AC</c:v>
                </c:pt>
                <c:pt idx="4">
                  <c:v>BC,AC</c:v>
                </c:pt>
                <c:pt idx="5">
                  <c:v>AB,BC</c:v>
                </c:pt>
                <c:pt idx="6">
                  <c:v>BC,AA</c:v>
                </c:pt>
                <c:pt idx="7">
                  <c:v>AC,BB</c:v>
                </c:pt>
                <c:pt idx="8">
                  <c:v>AB,CC</c:v>
                </c:pt>
                <c:pt idx="9">
                  <c:v>AC,AB</c:v>
                </c:pt>
                <c:pt idx="10">
                  <c:v>AC,BC</c:v>
                </c:pt>
                <c:pt idx="11">
                  <c:v>BC,AB</c:v>
                </c:pt>
              </c:strCache>
            </c:strRef>
          </c:cat>
          <c:val>
            <c:numRef>
              <c:f>'3-allele simulation'!$O$3:$O$14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0.46626733921815894</c:v>
                </c:pt>
                <c:pt idx="4">
                  <c:v>0.19871134020618558</c:v>
                </c:pt>
                <c:pt idx="5">
                  <c:v>0.9371095376926283</c:v>
                </c:pt>
                <c:pt idx="6">
                  <c:v>0.3211162015826739</c:v>
                </c:pt>
                <c:pt idx="7">
                  <c:v>0.5212981744421906</c:v>
                </c:pt>
                <c:pt idx="8">
                  <c:v>0.6159933361099543</c:v>
                </c:pt>
                <c:pt idx="9">
                  <c:v>0.46626733921815894</c:v>
                </c:pt>
                <c:pt idx="10">
                  <c:v>0.19871134020618558</c:v>
                </c:pt>
                <c:pt idx="11">
                  <c:v>0.9371095376926283</c:v>
                </c:pt>
              </c:numCache>
            </c:numRef>
          </c:val>
          <c:shape val="cone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'3-allele simulation'!$E$3:$E$14</c:f>
              <c:strCache>
                <c:ptCount val="12"/>
                <c:pt idx="0">
                  <c:v>AA,BC</c:v>
                </c:pt>
                <c:pt idx="1">
                  <c:v>BB,AC</c:v>
                </c:pt>
                <c:pt idx="2">
                  <c:v>CC,AB</c:v>
                </c:pt>
                <c:pt idx="3">
                  <c:v>AB,AC</c:v>
                </c:pt>
                <c:pt idx="4">
                  <c:v>BC,AC</c:v>
                </c:pt>
                <c:pt idx="5">
                  <c:v>AB,BC</c:v>
                </c:pt>
                <c:pt idx="6">
                  <c:v>BC,AA</c:v>
                </c:pt>
                <c:pt idx="7">
                  <c:v>AC,BB</c:v>
                </c:pt>
                <c:pt idx="8">
                  <c:v>AB,CC</c:v>
                </c:pt>
                <c:pt idx="9">
                  <c:v>AC,AB</c:v>
                </c:pt>
                <c:pt idx="10">
                  <c:v>AC,BC</c:v>
                </c:pt>
                <c:pt idx="11">
                  <c:v>BC,AB</c:v>
                </c:pt>
              </c:strCache>
            </c:strRef>
          </c:cat>
          <c:val>
            <c:numRef>
              <c:f>'3-allele simulation'!$P$3:$P$14</c:f>
              <c:numCache>
                <c:ptCount val="12"/>
                <c:pt idx="0">
                  <c:v>0.3211162015826739</c:v>
                </c:pt>
                <c:pt idx="1">
                  <c:v>0.5212981744421906</c:v>
                </c:pt>
                <c:pt idx="2">
                  <c:v>0.6159933361099543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one"/>
        </c:ser>
        <c:shape val="cone"/>
        <c:axId val="57110437"/>
        <c:axId val="44231886"/>
      </c:bar3DChart>
      <c:catAx>
        <c:axId val="57110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Genotypes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4231886"/>
        <c:crosses val="autoZero"/>
        <c:auto val="1"/>
        <c:lblOffset val="100"/>
        <c:noMultiLvlLbl val="0"/>
      </c:catAx>
      <c:valAx>
        <c:axId val="44231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Heterozygote 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104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Residual analysis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"/>
          <c:y val="0.20625"/>
          <c:w val="0.6915"/>
          <c:h val="0.6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'4-allele simulation'!$J$22</c:f>
              <c:strCache>
                <c:ptCount val="1"/>
                <c:pt idx="0">
                  <c:v>AB,CD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'4-allele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'4-allele simulation'!$K$22:$AA$22</c:f>
              <c:numCache>
                <c:ptCount val="17"/>
                <c:pt idx="0">
                  <c:v>0.11036683672358107</c:v>
                </c:pt>
                <c:pt idx="1">
                  <c:v>0.07990790964897922</c:v>
                </c:pt>
                <c:pt idx="2">
                  <c:v>0.05444898257437737</c:v>
                </c:pt>
                <c:pt idx="3">
                  <c:v>0.03399005549977552</c:v>
                </c:pt>
                <c:pt idx="4">
                  <c:v>0.01853112842517367</c:v>
                </c:pt>
                <c:pt idx="5">
                  <c:v>0.008072201350571833</c:v>
                </c:pt>
                <c:pt idx="6">
                  <c:v>0.0026132742759699813</c:v>
                </c:pt>
                <c:pt idx="7">
                  <c:v>0.0021543472013681357</c:v>
                </c:pt>
                <c:pt idx="8">
                  <c:v>0.006695420126766289</c:v>
                </c:pt>
                <c:pt idx="9">
                  <c:v>0.016236493052164454</c:v>
                </c:pt>
                <c:pt idx="10">
                  <c:v>0.030777565977562586</c:v>
                </c:pt>
                <c:pt idx="11">
                  <c:v>0.05031863890296076</c:v>
                </c:pt>
                <c:pt idx="12">
                  <c:v>0.07485971182835888</c:v>
                </c:pt>
                <c:pt idx="13">
                  <c:v>0.10440078475375705</c:v>
                </c:pt>
                <c:pt idx="14">
                  <c:v>0.13894185767915523</c:v>
                </c:pt>
                <c:pt idx="15">
                  <c:v>0.17848293060455334</c:v>
                </c:pt>
                <c:pt idx="16">
                  <c:v>0.22302400352995155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'4-allele simulation'!$J$23</c:f>
              <c:strCache>
                <c:ptCount val="1"/>
                <c:pt idx="0">
                  <c:v>AC,BD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'4-allele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'4-allele simulation'!$K$23:$AA$23</c:f>
              <c:numCache>
                <c:ptCount val="17"/>
                <c:pt idx="0">
                  <c:v>0.16099550394906303</c:v>
                </c:pt>
                <c:pt idx="1">
                  <c:v>0.12420799347127591</c:v>
                </c:pt>
                <c:pt idx="2">
                  <c:v>0.09242048299348884</c:v>
                </c:pt>
                <c:pt idx="3">
                  <c:v>0.06563297251570174</c:v>
                </c:pt>
                <c:pt idx="4">
                  <c:v>0.04384546203791465</c:v>
                </c:pt>
                <c:pt idx="5">
                  <c:v>0.027057951560127566</c:v>
                </c:pt>
                <c:pt idx="6">
                  <c:v>0.015270441082340469</c:v>
                </c:pt>
                <c:pt idx="7">
                  <c:v>0.008482930604553383</c:v>
                </c:pt>
                <c:pt idx="8">
                  <c:v>0.006695420126766289</c:v>
                </c:pt>
                <c:pt idx="9">
                  <c:v>0.009907909648979203</c:v>
                </c:pt>
                <c:pt idx="10">
                  <c:v>0.018120399171192104</c:v>
                </c:pt>
                <c:pt idx="11">
                  <c:v>0.031332888693405024</c:v>
                </c:pt>
                <c:pt idx="12">
                  <c:v>0.049545378215617907</c:v>
                </c:pt>
                <c:pt idx="13">
                  <c:v>0.07275786773783083</c:v>
                </c:pt>
                <c:pt idx="14">
                  <c:v>0.10097035726004377</c:v>
                </c:pt>
                <c:pt idx="15">
                  <c:v>0.13418284678225662</c:v>
                </c:pt>
                <c:pt idx="16">
                  <c:v>0.17239533630446957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'4-allele simulation'!$J$24</c:f>
              <c:strCache>
                <c:ptCount val="1"/>
                <c:pt idx="0">
                  <c:v>AD,BC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'4-allele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'4-allele simulation'!$K$24:$AA$24</c:f>
              <c:numCache>
                <c:ptCount val="17"/>
                <c:pt idx="0">
                  <c:v>0.19955376044529105</c:v>
                </c:pt>
                <c:pt idx="1">
                  <c:v>0.1579464679054754</c:v>
                </c:pt>
                <c:pt idx="2">
                  <c:v>0.12133917536565984</c:v>
                </c:pt>
                <c:pt idx="3">
                  <c:v>0.08973188282584424</c:v>
                </c:pt>
                <c:pt idx="4">
                  <c:v>0.06312459028602865</c:v>
                </c:pt>
                <c:pt idx="5">
                  <c:v>0.04151729774621307</c:v>
                </c:pt>
                <c:pt idx="6">
                  <c:v>0.024910005206397468</c:v>
                </c:pt>
                <c:pt idx="7">
                  <c:v>0.013302712666581883</c:v>
                </c:pt>
                <c:pt idx="8">
                  <c:v>0.006695420126766289</c:v>
                </c:pt>
                <c:pt idx="9">
                  <c:v>0.005088127586950699</c:v>
                </c:pt>
                <c:pt idx="10">
                  <c:v>0.008480835047135106</c:v>
                </c:pt>
                <c:pt idx="11">
                  <c:v>0.016873542507319525</c:v>
                </c:pt>
                <c:pt idx="12">
                  <c:v>0.030266249967503912</c:v>
                </c:pt>
                <c:pt idx="13">
                  <c:v>0.04865895742768834</c:v>
                </c:pt>
                <c:pt idx="14">
                  <c:v>0.07205166488787276</c:v>
                </c:pt>
                <c:pt idx="15">
                  <c:v>0.10044437234805714</c:v>
                </c:pt>
                <c:pt idx="16">
                  <c:v>0.13383707980824155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'4-allele simulation'!$J$25</c:f>
              <c:strCache>
                <c:ptCount val="1"/>
                <c:pt idx="0">
                  <c:v>BC,AD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'4-allele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'4-allele simulation'!$K$25:$AA$25</c:f>
              <c:numCache>
                <c:ptCount val="17"/>
                <c:pt idx="0">
                  <c:v>0.13383707980824155</c:v>
                </c:pt>
                <c:pt idx="1">
                  <c:v>0.10044437234805716</c:v>
                </c:pt>
                <c:pt idx="2">
                  <c:v>0.07205166488787275</c:v>
                </c:pt>
                <c:pt idx="3">
                  <c:v>0.04865895742768834</c:v>
                </c:pt>
                <c:pt idx="4">
                  <c:v>0.030266249967503923</c:v>
                </c:pt>
                <c:pt idx="5">
                  <c:v>0.016873542507319525</c:v>
                </c:pt>
                <c:pt idx="6">
                  <c:v>0.008480835047135106</c:v>
                </c:pt>
                <c:pt idx="7">
                  <c:v>0.005088127586950699</c:v>
                </c:pt>
                <c:pt idx="8">
                  <c:v>0.006695420126766289</c:v>
                </c:pt>
                <c:pt idx="9">
                  <c:v>0.013302712666581888</c:v>
                </c:pt>
                <c:pt idx="10">
                  <c:v>0.024910005206397468</c:v>
                </c:pt>
                <c:pt idx="11">
                  <c:v>0.04151729774621307</c:v>
                </c:pt>
                <c:pt idx="12">
                  <c:v>0.06312459028602863</c:v>
                </c:pt>
                <c:pt idx="13">
                  <c:v>0.08973188282584424</c:v>
                </c:pt>
                <c:pt idx="14">
                  <c:v>0.12133917536565987</c:v>
                </c:pt>
                <c:pt idx="15">
                  <c:v>0.1579464679054754</c:v>
                </c:pt>
                <c:pt idx="16">
                  <c:v>0.19955376044529105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'4-allele simulation'!$J$26</c:f>
              <c:strCache>
                <c:ptCount val="1"/>
                <c:pt idx="0">
                  <c:v>BD,AC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'4-allele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'4-allele simulation'!$K$26:$AA$26</c:f>
              <c:numCache>
                <c:ptCount val="17"/>
                <c:pt idx="0">
                  <c:v>0.17239533630446957</c:v>
                </c:pt>
                <c:pt idx="1">
                  <c:v>0.13418284678225662</c:v>
                </c:pt>
                <c:pt idx="2">
                  <c:v>0.10097035726004375</c:v>
                </c:pt>
                <c:pt idx="3">
                  <c:v>0.07275786773783083</c:v>
                </c:pt>
                <c:pt idx="4">
                  <c:v>0.04954537821561792</c:v>
                </c:pt>
                <c:pt idx="5">
                  <c:v>0.031332888693405024</c:v>
                </c:pt>
                <c:pt idx="6">
                  <c:v>0.018120399171192104</c:v>
                </c:pt>
                <c:pt idx="7">
                  <c:v>0.0099079096489792</c:v>
                </c:pt>
                <c:pt idx="8">
                  <c:v>0.006695420126766289</c:v>
                </c:pt>
                <c:pt idx="9">
                  <c:v>0.008482930604553384</c:v>
                </c:pt>
                <c:pt idx="10">
                  <c:v>0.015270441082340469</c:v>
                </c:pt>
                <c:pt idx="11">
                  <c:v>0.027057951560127566</c:v>
                </c:pt>
                <c:pt idx="12">
                  <c:v>0.04384546203791464</c:v>
                </c:pt>
                <c:pt idx="13">
                  <c:v>0.06563297251570174</c:v>
                </c:pt>
                <c:pt idx="14">
                  <c:v>0.09242048299348886</c:v>
                </c:pt>
                <c:pt idx="15">
                  <c:v>0.12420799347127591</c:v>
                </c:pt>
                <c:pt idx="16">
                  <c:v>0.16099550394906303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'4-allele simulation'!$J$27</c:f>
              <c:strCache>
                <c:ptCount val="1"/>
                <c:pt idx="0">
                  <c:v>CD,AB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'4-allele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'4-allele simulation'!$K$27:$AA$27</c:f>
              <c:numCache>
                <c:ptCount val="17"/>
                <c:pt idx="0">
                  <c:v>0.22302400352995155</c:v>
                </c:pt>
                <c:pt idx="1">
                  <c:v>0.17848293060455334</c:v>
                </c:pt>
                <c:pt idx="2">
                  <c:v>0.13894185767915523</c:v>
                </c:pt>
                <c:pt idx="3">
                  <c:v>0.10440078475375705</c:v>
                </c:pt>
                <c:pt idx="4">
                  <c:v>0.0748597118283589</c:v>
                </c:pt>
                <c:pt idx="5">
                  <c:v>0.05031863890296076</c:v>
                </c:pt>
                <c:pt idx="6">
                  <c:v>0.030777565977562586</c:v>
                </c:pt>
                <c:pt idx="7">
                  <c:v>0.016236493052164448</c:v>
                </c:pt>
                <c:pt idx="8">
                  <c:v>0.006695420126766289</c:v>
                </c:pt>
                <c:pt idx="9">
                  <c:v>0.002154347201368134</c:v>
                </c:pt>
                <c:pt idx="10">
                  <c:v>0.0026132742759699813</c:v>
                </c:pt>
                <c:pt idx="11">
                  <c:v>0.008072201350571833</c:v>
                </c:pt>
                <c:pt idx="12">
                  <c:v>0.018531128425173665</c:v>
                </c:pt>
                <c:pt idx="13">
                  <c:v>0.03399005549977552</c:v>
                </c:pt>
                <c:pt idx="14">
                  <c:v>0.054448982574377386</c:v>
                </c:pt>
                <c:pt idx="15">
                  <c:v>0.0799079096489792</c:v>
                </c:pt>
                <c:pt idx="16">
                  <c:v>0.11036683672358107</c:v>
                </c:pt>
              </c:numCache>
            </c:numRef>
          </c:yVal>
          <c:smooth val="1"/>
        </c:ser>
        <c:axId val="62542655"/>
        <c:axId val="26012984"/>
      </c:scatterChart>
      <c:valAx>
        <c:axId val="62542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Mx (mixture proportion)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12984"/>
        <c:crossesAt val="0.001"/>
        <c:crossBetween val="midCat"/>
        <c:dispUnits/>
      </c:valAx>
      <c:valAx>
        <c:axId val="2601298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Residual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42655"/>
        <c:crossesAt val="0.0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"/>
          <c:w val="0.1775"/>
          <c:h val="0.519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C0C0FF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Heterozygote balance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725"/>
          <c:y val="0.176"/>
          <c:w val="0.78775"/>
          <c:h val="0.76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'4-allele simulation'!$E$3:$E$8</c:f>
              <c:strCache>
                <c:ptCount val="6"/>
                <c:pt idx="0">
                  <c:v>AB,CD</c:v>
                </c:pt>
                <c:pt idx="1">
                  <c:v>AC,BD</c:v>
                </c:pt>
                <c:pt idx="2">
                  <c:v>AD,BC</c:v>
                </c:pt>
                <c:pt idx="3">
                  <c:v>BC,AD</c:v>
                </c:pt>
                <c:pt idx="4">
                  <c:v>BD,AC</c:v>
                </c:pt>
                <c:pt idx="5">
                  <c:v>CD,AB</c:v>
                </c:pt>
              </c:strCache>
            </c:strRef>
          </c:cat>
          <c:val>
            <c:numRef>
              <c:f>'4-allele simulation'!$Q$3:$Q$8</c:f>
              <c:numCache>
                <c:ptCount val="6"/>
                <c:pt idx="0">
                  <c:v>0.8535262206148282</c:v>
                </c:pt>
                <c:pt idx="1">
                  <c:v>0.8876404494382023</c:v>
                </c:pt>
                <c:pt idx="2">
                  <c:v>0.7493224932249323</c:v>
                </c:pt>
                <c:pt idx="3">
                  <c:v>0.7576243980738363</c:v>
                </c:pt>
                <c:pt idx="4">
                  <c:v>0.6395663956639567</c:v>
                </c:pt>
                <c:pt idx="5">
                  <c:v>0.8441734417344173</c:v>
                </c:pt>
              </c:numCache>
            </c:numRef>
          </c:val>
          <c:shape val="cone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'4-allele simulation'!$E$3:$E$8</c:f>
              <c:strCache>
                <c:ptCount val="6"/>
                <c:pt idx="0">
                  <c:v>AB,CD</c:v>
                </c:pt>
                <c:pt idx="1">
                  <c:v>AC,BD</c:v>
                </c:pt>
                <c:pt idx="2">
                  <c:v>AD,BC</c:v>
                </c:pt>
                <c:pt idx="3">
                  <c:v>BC,AD</c:v>
                </c:pt>
                <c:pt idx="4">
                  <c:v>BD,AC</c:v>
                </c:pt>
                <c:pt idx="5">
                  <c:v>CD,AB</c:v>
                </c:pt>
              </c:strCache>
            </c:strRef>
          </c:cat>
          <c:val>
            <c:numRef>
              <c:f>'4-allele simulation'!$R$3:$R$8</c:f>
              <c:numCache>
                <c:ptCount val="6"/>
                <c:pt idx="0">
                  <c:v>0.8441734417344173</c:v>
                </c:pt>
                <c:pt idx="1">
                  <c:v>0.6395663956639567</c:v>
                </c:pt>
                <c:pt idx="2">
                  <c:v>0.7576243980738363</c:v>
                </c:pt>
                <c:pt idx="3">
                  <c:v>0.7493224932249323</c:v>
                </c:pt>
                <c:pt idx="4">
                  <c:v>0.8876404494382023</c:v>
                </c:pt>
                <c:pt idx="5">
                  <c:v>0.8535262206148282</c:v>
                </c:pt>
              </c:numCache>
            </c:numRef>
          </c:val>
          <c:shape val="cone"/>
        </c:ser>
        <c:shape val="cone"/>
        <c:axId val="32790265"/>
        <c:axId val="26676930"/>
      </c:bar3DChart>
      <c:catAx>
        <c:axId val="32790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Genotype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6676930"/>
        <c:crosses val="autoZero"/>
        <c:auto val="1"/>
        <c:lblOffset val="100"/>
        <c:noMultiLvlLbl val="0"/>
      </c:catAx>
      <c:valAx>
        <c:axId val="266769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Heterozygote 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7902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"/>
          <c:y val="0.47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209550</xdr:colOff>
      <xdr:row>1</xdr:row>
      <xdr:rowOff>104775</xdr:rowOff>
    </xdr:from>
    <xdr:to>
      <xdr:col>36</xdr:col>
      <xdr:colOff>133350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23269575" y="266700"/>
        <a:ext cx="772477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76200</xdr:rowOff>
    </xdr:from>
    <xdr:to>
      <xdr:col>3</xdr:col>
      <xdr:colOff>47625</xdr:colOff>
      <xdr:row>16</xdr:row>
      <xdr:rowOff>66675</xdr:rowOff>
    </xdr:to>
    <xdr:sp macro="[0]!TwoAllele">
      <xdr:nvSpPr>
        <xdr:cNvPr id="2" name="Rectangle 3"/>
        <xdr:cNvSpPr>
          <a:spLocks/>
        </xdr:cNvSpPr>
      </xdr:nvSpPr>
      <xdr:spPr>
        <a:xfrm>
          <a:off x="685800" y="1876425"/>
          <a:ext cx="160020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CLICK FOR TWO-ALLELE SIMULATION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14</xdr:row>
      <xdr:rowOff>114300</xdr:rowOff>
    </xdr:from>
    <xdr:to>
      <xdr:col>9</xdr:col>
      <xdr:colOff>857250</xdr:colOff>
      <xdr:row>44</xdr:row>
      <xdr:rowOff>85725</xdr:rowOff>
    </xdr:to>
    <xdr:graphicFrame>
      <xdr:nvGraphicFramePr>
        <xdr:cNvPr id="1" name="Chart 4"/>
        <xdr:cNvGraphicFramePr/>
      </xdr:nvGraphicFramePr>
      <xdr:xfrm>
        <a:off x="676275" y="2400300"/>
        <a:ext cx="656272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19</xdr:row>
      <xdr:rowOff>142875</xdr:rowOff>
    </xdr:from>
    <xdr:to>
      <xdr:col>20</xdr:col>
      <xdr:colOff>600075</xdr:colOff>
      <xdr:row>42</xdr:row>
      <xdr:rowOff>152400</xdr:rowOff>
    </xdr:to>
    <xdr:graphicFrame>
      <xdr:nvGraphicFramePr>
        <xdr:cNvPr id="2" name="Chart 5"/>
        <xdr:cNvGraphicFramePr/>
      </xdr:nvGraphicFramePr>
      <xdr:xfrm>
        <a:off x="9525000" y="3238500"/>
        <a:ext cx="740092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571500</xdr:colOff>
      <xdr:row>14</xdr:row>
      <xdr:rowOff>123825</xdr:rowOff>
    </xdr:from>
    <xdr:to>
      <xdr:col>2</xdr:col>
      <xdr:colOff>447675</xdr:colOff>
      <xdr:row>19</xdr:row>
      <xdr:rowOff>76200</xdr:rowOff>
    </xdr:to>
    <xdr:sp macro="[0]!ThreeAllele">
      <xdr:nvSpPr>
        <xdr:cNvPr id="3" name="Rectangle 6"/>
        <xdr:cNvSpPr>
          <a:spLocks/>
        </xdr:cNvSpPr>
      </xdr:nvSpPr>
      <xdr:spPr>
        <a:xfrm>
          <a:off x="571500" y="2409825"/>
          <a:ext cx="14763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CLICK FOR 3-ALLELE SIMULATION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10</xdr:row>
      <xdr:rowOff>142875</xdr:rowOff>
    </xdr:from>
    <xdr:to>
      <xdr:col>8</xdr:col>
      <xdr:colOff>276225</xdr:colOff>
      <xdr:row>34</xdr:row>
      <xdr:rowOff>104775</xdr:rowOff>
    </xdr:to>
    <xdr:graphicFrame>
      <xdr:nvGraphicFramePr>
        <xdr:cNvPr id="1" name="Chart 2"/>
        <xdr:cNvGraphicFramePr/>
      </xdr:nvGraphicFramePr>
      <xdr:xfrm>
        <a:off x="1933575" y="1933575"/>
        <a:ext cx="53911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209550</xdr:colOff>
      <xdr:row>0</xdr:row>
      <xdr:rowOff>47625</xdr:rowOff>
    </xdr:from>
    <xdr:to>
      <xdr:col>26</xdr:col>
      <xdr:colOff>361950</xdr:colOff>
      <xdr:row>18</xdr:row>
      <xdr:rowOff>95250</xdr:rowOff>
    </xdr:to>
    <xdr:graphicFrame>
      <xdr:nvGraphicFramePr>
        <xdr:cNvPr id="2" name="Chart 3"/>
        <xdr:cNvGraphicFramePr/>
      </xdr:nvGraphicFramePr>
      <xdr:xfrm>
        <a:off x="16906875" y="47625"/>
        <a:ext cx="62198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10</xdr:row>
      <xdr:rowOff>152400</xdr:rowOff>
    </xdr:from>
    <xdr:to>
      <xdr:col>2</xdr:col>
      <xdr:colOff>190500</xdr:colOff>
      <xdr:row>17</xdr:row>
      <xdr:rowOff>142875</xdr:rowOff>
    </xdr:to>
    <xdr:sp macro="[0]!FourAllele">
      <xdr:nvSpPr>
        <xdr:cNvPr id="3" name="Rectangle 4"/>
        <xdr:cNvSpPr>
          <a:spLocks/>
        </xdr:cNvSpPr>
      </xdr:nvSpPr>
      <xdr:spPr>
        <a:xfrm>
          <a:off x="171450" y="1943100"/>
          <a:ext cx="139065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FOUR-ALLELE SIMULATION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nemo.strath.ac.uk/exchange/pjb08103/Inbox/mixture%20analysis%20stats%20(2).xls.EML/1_multipart_x005F_xF8FF_2_mixture%20analysis%20stats%20(2).xls/C58EA28C-18C0-4a97-9AF2-036E93DDAFB3/mixture%20analysis%20stat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xture anal of d18 (MTNO)"/>
      <sheetName val="mixture anal of d18 (MTNO) (2)"/>
      <sheetName val="mixture anal of d6 (MTNO) (3)"/>
      <sheetName val="mixture anal of fga (MTNO) (4)"/>
      <sheetName val="D21S11"/>
      <sheetName val="VWA"/>
      <sheetName val="HUMTH01 2 ALLELE MOD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A28"/>
  <sheetViews>
    <sheetView tabSelected="1" zoomScale="75" zoomScaleNormal="75" workbookViewId="0" topLeftCell="A1">
      <selection activeCell="A10" sqref="A10"/>
    </sheetView>
  </sheetViews>
  <sheetFormatPr defaultColWidth="9.00390625" defaultRowHeight="12.75"/>
  <cols>
    <col min="3" max="3" width="11.375" style="0" customWidth="1"/>
    <col min="5" max="5" width="14.00390625" style="0" customWidth="1"/>
    <col min="6" max="16384" width="11.375" style="0" customWidth="1"/>
  </cols>
  <sheetData>
    <row r="1" spans="1:13" ht="12.75">
      <c r="A1" s="4" t="s">
        <v>35</v>
      </c>
      <c r="B1" s="4"/>
      <c r="C1" s="4"/>
      <c r="E1" s="1" t="s">
        <v>0</v>
      </c>
      <c r="F1" s="1" t="s">
        <v>1</v>
      </c>
      <c r="G1" s="1"/>
      <c r="H1" s="1" t="s">
        <v>2</v>
      </c>
      <c r="I1" s="1"/>
      <c r="J1" s="1" t="s">
        <v>3</v>
      </c>
      <c r="K1" s="1" t="s">
        <v>40</v>
      </c>
      <c r="M1" t="s">
        <v>42</v>
      </c>
    </row>
    <row r="2" spans="1:14" ht="13.5" thickBot="1">
      <c r="A2" s="4"/>
      <c r="B2" s="4" t="s">
        <v>37</v>
      </c>
      <c r="C2" s="4" t="s">
        <v>36</v>
      </c>
      <c r="F2" s="1" t="s">
        <v>4</v>
      </c>
      <c r="G2" s="1" t="s">
        <v>5</v>
      </c>
      <c r="H2" s="1" t="s">
        <v>4</v>
      </c>
      <c r="I2" s="1" t="s">
        <v>5</v>
      </c>
      <c r="J2" t="s">
        <v>7</v>
      </c>
      <c r="K2" s="3" t="s">
        <v>41</v>
      </c>
      <c r="L2" s="3" t="s">
        <v>39</v>
      </c>
      <c r="M2" s="3" t="s">
        <v>43</v>
      </c>
      <c r="N2" s="3" t="s">
        <v>44</v>
      </c>
    </row>
    <row r="3" spans="1:14" ht="12.75">
      <c r="A3" s="3" t="s">
        <v>4</v>
      </c>
      <c r="B3" s="3">
        <v>2183</v>
      </c>
      <c r="C3" s="8">
        <f>B3/B$5</f>
        <v>0.708306294613887</v>
      </c>
      <c r="E3" s="1" t="s">
        <v>27</v>
      </c>
      <c r="F3" s="54">
        <f>($A$10/2)+0.5</f>
        <v>0.6</v>
      </c>
      <c r="G3" s="58">
        <f>(1-$A$10)/2</f>
        <v>0.4</v>
      </c>
      <c r="H3" s="11">
        <f>C$3</f>
        <v>0.708306294613887</v>
      </c>
      <c r="I3" s="13">
        <f>C$4</f>
        <v>0.2916937053861129</v>
      </c>
      <c r="J3" s="61">
        <f aca="true" t="shared" si="0" ref="J3:J9">((H3-F3)^2)+((I3-G3)^2)</f>
        <v>0.02346050690598022</v>
      </c>
      <c r="K3" s="42">
        <f>1-(2*C4)</f>
        <v>0.4166125892277742</v>
      </c>
      <c r="L3" s="12">
        <f aca="true" t="shared" si="1" ref="L3:L9">1-K3</f>
        <v>0.5833874107722258</v>
      </c>
      <c r="M3" s="32" t="s">
        <v>47</v>
      </c>
      <c r="N3" s="33">
        <f>IF($C$4&gt;$C$5,$C$5/$C$4,$C$4/$C$5)</f>
        <v>0</v>
      </c>
    </row>
    <row r="4" spans="1:14" ht="12.75">
      <c r="A4" s="3" t="s">
        <v>5</v>
      </c>
      <c r="B4" s="41">
        <v>899</v>
      </c>
      <c r="C4" s="8">
        <f>B4/B$5</f>
        <v>0.2916937053861129</v>
      </c>
      <c r="E4" s="1" t="s">
        <v>28</v>
      </c>
      <c r="F4" s="55">
        <v>0.5</v>
      </c>
      <c r="G4" s="59">
        <v>0.5</v>
      </c>
      <c r="H4" s="14">
        <f aca="true" t="shared" si="2" ref="H4:H9">C$3</f>
        <v>0.708306294613887</v>
      </c>
      <c r="I4" s="16">
        <f aca="true" t="shared" si="3" ref="I4:I9">C$4</f>
        <v>0.2916937053861129</v>
      </c>
      <c r="J4" s="62">
        <f t="shared" si="0"/>
        <v>0.08678302475153504</v>
      </c>
      <c r="K4" s="43" t="s">
        <v>47</v>
      </c>
      <c r="L4" s="15" t="s">
        <v>47</v>
      </c>
      <c r="M4" s="35">
        <f>IF(B3&gt;B4,B4/B3,B3/B4)</f>
        <v>0.41181859825927625</v>
      </c>
      <c r="N4" s="36" t="s">
        <v>47</v>
      </c>
    </row>
    <row r="5" spans="1:14" ht="12.75">
      <c r="A5" s="4" t="s">
        <v>34</v>
      </c>
      <c r="B5" s="9">
        <f>SUM(B3:B4)</f>
        <v>3082</v>
      </c>
      <c r="C5" s="6"/>
      <c r="E5" s="1" t="s">
        <v>29</v>
      </c>
      <c r="F5" s="55">
        <f>$A$10</f>
        <v>0.2</v>
      </c>
      <c r="G5" s="59">
        <f>(1-$A$10)</f>
        <v>0.8</v>
      </c>
      <c r="H5" s="14">
        <f t="shared" si="2"/>
        <v>0.708306294613887</v>
      </c>
      <c r="I5" s="16">
        <f t="shared" si="3"/>
        <v>0.2916937053861129</v>
      </c>
      <c r="J5" s="62">
        <f t="shared" si="0"/>
        <v>0.5167505782881996</v>
      </c>
      <c r="K5" s="43">
        <f>C3</f>
        <v>0.708306294613887</v>
      </c>
      <c r="L5" s="15">
        <f t="shared" si="1"/>
        <v>0.29169370538611294</v>
      </c>
      <c r="M5" s="35" t="s">
        <v>47</v>
      </c>
      <c r="N5" s="36">
        <f>IF($C$3&gt;$C$4,$C$4/$C$3,$C$3/$C$4)</f>
        <v>0.4118185982592762</v>
      </c>
    </row>
    <row r="6" spans="1:14" ht="12.75">
      <c r="A6" s="4"/>
      <c r="B6" s="4"/>
      <c r="C6" s="6"/>
      <c r="E6" s="1" t="s">
        <v>30</v>
      </c>
      <c r="F6" s="55">
        <f>1-($A$10/2)</f>
        <v>0.9</v>
      </c>
      <c r="G6" s="59">
        <f>$A$10/2</f>
        <v>0.1</v>
      </c>
      <c r="H6" s="14">
        <f t="shared" si="2"/>
        <v>0.708306294613887</v>
      </c>
      <c r="I6" s="16">
        <f t="shared" si="3"/>
        <v>0.2916937053861129</v>
      </c>
      <c r="J6" s="62">
        <f t="shared" si="0"/>
        <v>0.07349295336931572</v>
      </c>
      <c r="K6" s="43">
        <f>2*C4</f>
        <v>0.5833874107722258</v>
      </c>
      <c r="L6" s="15">
        <f t="shared" si="1"/>
        <v>0.4166125892277742</v>
      </c>
      <c r="M6" s="35" t="s">
        <v>47</v>
      </c>
      <c r="N6" s="36" t="s">
        <v>47</v>
      </c>
    </row>
    <row r="7" spans="3:14" ht="12.75">
      <c r="C7" s="4"/>
      <c r="E7" s="1" t="s">
        <v>31</v>
      </c>
      <c r="F7" s="55">
        <f>(1-$A$10)</f>
        <v>0.8</v>
      </c>
      <c r="G7" s="59">
        <f>$A$10</f>
        <v>0.2</v>
      </c>
      <c r="H7" s="14">
        <f t="shared" si="2"/>
        <v>0.708306294613887</v>
      </c>
      <c r="I7" s="16">
        <f t="shared" si="3"/>
        <v>0.2916937053861129</v>
      </c>
      <c r="J7" s="62">
        <f t="shared" si="0"/>
        <v>0.01681547121487055</v>
      </c>
      <c r="K7" s="43">
        <f>C4</f>
        <v>0.2916937053861129</v>
      </c>
      <c r="L7" s="15">
        <f t="shared" si="1"/>
        <v>0.7083062946138872</v>
      </c>
      <c r="M7" s="35" t="s">
        <v>47</v>
      </c>
      <c r="N7" s="36" t="s">
        <v>47</v>
      </c>
    </row>
    <row r="8" spans="5:14" ht="12.75">
      <c r="E8" s="1" t="s">
        <v>32</v>
      </c>
      <c r="F8" s="55">
        <f>($A$10/2)</f>
        <v>0.1</v>
      </c>
      <c r="G8" s="59">
        <f>1-($A$10/2)</f>
        <v>0.9</v>
      </c>
      <c r="H8" s="14">
        <f t="shared" si="2"/>
        <v>0.708306294613887</v>
      </c>
      <c r="I8" s="16">
        <f t="shared" si="3"/>
        <v>0.2916937053861129</v>
      </c>
      <c r="J8" s="62">
        <f t="shared" si="0"/>
        <v>0.7400730961337544</v>
      </c>
      <c r="K8" s="43">
        <f>2*C3</f>
        <v>1.416612589227774</v>
      </c>
      <c r="L8" s="15">
        <f t="shared" si="1"/>
        <v>-0.4166125892277741</v>
      </c>
      <c r="M8" s="35" t="s">
        <v>47</v>
      </c>
      <c r="N8" s="36" t="s">
        <v>47</v>
      </c>
    </row>
    <row r="9" spans="1:14" ht="13.5" thickBot="1">
      <c r="A9" s="3" t="s">
        <v>38</v>
      </c>
      <c r="B9" s="3" t="s">
        <v>39</v>
      </c>
      <c r="E9" s="1" t="s">
        <v>33</v>
      </c>
      <c r="F9" s="56">
        <f>(1-$A$10)/2</f>
        <v>0.4</v>
      </c>
      <c r="G9" s="60">
        <f>1-F9</f>
        <v>0.6</v>
      </c>
      <c r="H9" s="17">
        <f t="shared" si="2"/>
        <v>0.708306294613887</v>
      </c>
      <c r="I9" s="19">
        <f t="shared" si="3"/>
        <v>0.2916937053861129</v>
      </c>
      <c r="J9" s="63">
        <f t="shared" si="0"/>
        <v>0.19010554259708984</v>
      </c>
      <c r="K9" s="44">
        <f>1-(2*C3)</f>
        <v>-0.4166125892277741</v>
      </c>
      <c r="L9" s="18">
        <f t="shared" si="1"/>
        <v>1.416612589227774</v>
      </c>
      <c r="M9" s="39" t="s">
        <v>47</v>
      </c>
      <c r="N9" s="57" t="s">
        <v>47</v>
      </c>
    </row>
    <row r="10" spans="1:2" ht="12.75">
      <c r="A10" s="4">
        <v>0.2</v>
      </c>
      <c r="B10" s="4">
        <f>1-A10</f>
        <v>0.8</v>
      </c>
    </row>
    <row r="21" spans="10:27" ht="13.5" thickBot="1">
      <c r="J21" t="s">
        <v>48</v>
      </c>
      <c r="K21">
        <v>0.1</v>
      </c>
      <c r="L21">
        <v>0.15</v>
      </c>
      <c r="M21">
        <v>0.2</v>
      </c>
      <c r="N21">
        <v>0.25</v>
      </c>
      <c r="O21">
        <v>0.3</v>
      </c>
      <c r="P21">
        <v>0.35</v>
      </c>
      <c r="Q21">
        <v>0.4</v>
      </c>
      <c r="R21">
        <v>0.45</v>
      </c>
      <c r="S21">
        <v>0.5</v>
      </c>
      <c r="T21">
        <v>0.55</v>
      </c>
      <c r="U21">
        <v>0.6</v>
      </c>
      <c r="V21">
        <v>0.65</v>
      </c>
      <c r="W21">
        <v>0.7</v>
      </c>
      <c r="X21">
        <v>0.75</v>
      </c>
      <c r="Y21">
        <v>0.8</v>
      </c>
      <c r="Z21">
        <v>0.85</v>
      </c>
      <c r="AA21">
        <v>0.9</v>
      </c>
    </row>
    <row r="22" spans="10:27" ht="12.75">
      <c r="J22" s="1" t="s">
        <v>27</v>
      </c>
      <c r="K22">
        <v>0.05012176582875762</v>
      </c>
      <c r="L22">
        <v>0.03554113636736893</v>
      </c>
      <c r="M22">
        <v>0.02346050690598022</v>
      </c>
      <c r="N22">
        <v>0.013879877444591505</v>
      </c>
      <c r="O22">
        <v>0.006799247983202791</v>
      </c>
      <c r="P22">
        <v>0.0022186185218140853</v>
      </c>
      <c r="Q22">
        <v>0.0001379890604253797</v>
      </c>
      <c r="R22">
        <v>0.0005573595990366693</v>
      </c>
      <c r="S22">
        <v>0.0034767301376479624</v>
      </c>
      <c r="T22">
        <v>0.008896100676259261</v>
      </c>
      <c r="U22">
        <v>0.01681547121487055</v>
      </c>
      <c r="V22">
        <v>0.027234841753481828</v>
      </c>
      <c r="W22">
        <v>0.040154212292093115</v>
      </c>
      <c r="X22">
        <v>0.05557358283070442</v>
      </c>
      <c r="Y22">
        <v>0.07349295336931572</v>
      </c>
      <c r="Z22">
        <v>0.09391232390792703</v>
      </c>
      <c r="AA22" s="51">
        <v>0.11683169444653828</v>
      </c>
    </row>
    <row r="23" spans="10:27" ht="12.75">
      <c r="J23" s="1" t="s">
        <v>28</v>
      </c>
      <c r="K23">
        <v>0.08678302475153504</v>
      </c>
      <c r="L23">
        <v>0.08678302475153504</v>
      </c>
      <c r="M23">
        <v>0.08678302475153504</v>
      </c>
      <c r="N23">
        <v>0.08678302475153504</v>
      </c>
      <c r="O23">
        <v>0.08678302475153504</v>
      </c>
      <c r="P23">
        <v>0.08678302475153504</v>
      </c>
      <c r="Q23">
        <v>0.08678302475153504</v>
      </c>
      <c r="R23">
        <v>0.08678302475153504</v>
      </c>
      <c r="S23">
        <v>0.08678302475153504</v>
      </c>
      <c r="T23">
        <v>0.08678302475153504</v>
      </c>
      <c r="U23">
        <v>0.08678302475153504</v>
      </c>
      <c r="V23">
        <v>0.08678302475153504</v>
      </c>
      <c r="W23">
        <v>0.08678302475153504</v>
      </c>
      <c r="X23">
        <v>0.08678302475153504</v>
      </c>
      <c r="Y23">
        <v>0.08678302475153504</v>
      </c>
      <c r="Z23">
        <v>0.08678302475153504</v>
      </c>
      <c r="AA23" s="52">
        <v>0.08678302475153504</v>
      </c>
    </row>
    <row r="24" spans="10:27" ht="12.75">
      <c r="J24" s="1" t="s">
        <v>29</v>
      </c>
      <c r="K24">
        <v>0.7400730961337544</v>
      </c>
      <c r="L24">
        <v>0.6234118372109768</v>
      </c>
      <c r="M24">
        <v>0.5167505782881996</v>
      </c>
      <c r="N24">
        <v>0.42008931936542215</v>
      </c>
      <c r="O24">
        <v>0.33342806044264467</v>
      </c>
      <c r="P24">
        <v>0.2567668015198673</v>
      </c>
      <c r="Q24">
        <v>0.19010554259708984</v>
      </c>
      <c r="R24">
        <v>0.1334442836743125</v>
      </c>
      <c r="S24">
        <v>0.08678302475153504</v>
      </c>
      <c r="T24">
        <v>0.0501217658287576</v>
      </c>
      <c r="U24">
        <v>0.02346050690598022</v>
      </c>
      <c r="V24">
        <v>0.006799247983202791</v>
      </c>
      <c r="W24">
        <v>0.0001379890604253806</v>
      </c>
      <c r="X24">
        <v>0.0034767301376479624</v>
      </c>
      <c r="Y24">
        <v>0.01681547121487056</v>
      </c>
      <c r="Z24">
        <v>0.040154212292093115</v>
      </c>
      <c r="AA24" s="52">
        <v>0.07349295336931572</v>
      </c>
    </row>
    <row r="25" spans="10:27" ht="12.75">
      <c r="J25" s="1" t="s">
        <v>30</v>
      </c>
      <c r="K25">
        <v>0.11683169444653828</v>
      </c>
      <c r="L25">
        <v>0.09391232390792703</v>
      </c>
      <c r="M25">
        <v>0.07349295336931572</v>
      </c>
      <c r="N25">
        <v>0.05557358283070442</v>
      </c>
      <c r="O25">
        <v>0.04015421229209312</v>
      </c>
      <c r="P25">
        <v>0.027234841753481828</v>
      </c>
      <c r="Q25">
        <v>0.01681547121487055</v>
      </c>
      <c r="R25">
        <v>0.008896100676259257</v>
      </c>
      <c r="S25">
        <v>0.0034767301376479624</v>
      </c>
      <c r="T25">
        <v>0.0005573595990366693</v>
      </c>
      <c r="U25">
        <v>0.0001379890604253797</v>
      </c>
      <c r="V25">
        <v>0.0022186185218140853</v>
      </c>
      <c r="W25">
        <v>0.006799247983202791</v>
      </c>
      <c r="X25">
        <v>0.013879877444591505</v>
      </c>
      <c r="Y25">
        <v>0.02346050690598022</v>
      </c>
      <c r="Z25">
        <v>0.03554113636736893</v>
      </c>
      <c r="AA25" s="52">
        <v>0.05012176582875762</v>
      </c>
    </row>
    <row r="26" spans="10:27" ht="12.75">
      <c r="J26" s="1" t="s">
        <v>31</v>
      </c>
      <c r="K26">
        <v>0.07349295336931572</v>
      </c>
      <c r="L26">
        <v>0.04015421229209312</v>
      </c>
      <c r="M26">
        <v>0.01681547121487055</v>
      </c>
      <c r="N26">
        <v>0.0034767301376479624</v>
      </c>
      <c r="O26">
        <v>0.0001379890604253797</v>
      </c>
      <c r="P26">
        <v>0.006799247983202791</v>
      </c>
      <c r="Q26">
        <v>0.02346050690598022</v>
      </c>
      <c r="R26">
        <v>0.05012176582875762</v>
      </c>
      <c r="S26">
        <v>0.08678302475153504</v>
      </c>
      <c r="T26">
        <v>0.13344428367431252</v>
      </c>
      <c r="U26">
        <v>0.19010554259708984</v>
      </c>
      <c r="V26">
        <v>0.2567668015198673</v>
      </c>
      <c r="W26">
        <v>0.3334280604426446</v>
      </c>
      <c r="X26">
        <v>0.42008931936542215</v>
      </c>
      <c r="Y26">
        <v>0.5167505782881997</v>
      </c>
      <c r="Z26">
        <v>0.6234118372109768</v>
      </c>
      <c r="AA26" s="52">
        <v>0.7400730961337544</v>
      </c>
    </row>
    <row r="27" spans="10:27" ht="12.75">
      <c r="J27" s="1" t="s">
        <v>32</v>
      </c>
      <c r="K27">
        <v>0.8667343550565317</v>
      </c>
      <c r="L27">
        <v>0.8021537255951432</v>
      </c>
      <c r="M27">
        <v>0.7400730961337544</v>
      </c>
      <c r="N27">
        <v>0.6804924666723657</v>
      </c>
      <c r="O27">
        <v>0.6234118372109768</v>
      </c>
      <c r="P27">
        <v>0.5688312077495883</v>
      </c>
      <c r="Q27">
        <v>0.5167505782881996</v>
      </c>
      <c r="R27">
        <v>0.4671699488268109</v>
      </c>
      <c r="S27">
        <v>0.42008931936542215</v>
      </c>
      <c r="T27">
        <v>0.3755086899040334</v>
      </c>
      <c r="U27">
        <v>0.33342806044264467</v>
      </c>
      <c r="V27">
        <v>0.293847430981256</v>
      </c>
      <c r="W27">
        <v>0.2567668015198673</v>
      </c>
      <c r="X27">
        <v>0.22218617205847857</v>
      </c>
      <c r="Y27">
        <v>0.19010554259708984</v>
      </c>
      <c r="Z27">
        <v>0.16052491313570116</v>
      </c>
      <c r="AA27" s="52">
        <v>0.1334442836743125</v>
      </c>
    </row>
    <row r="28" spans="10:27" ht="13.5" thickBot="1">
      <c r="J28" s="1" t="s">
        <v>33</v>
      </c>
      <c r="K28">
        <v>0.1334442836743125</v>
      </c>
      <c r="L28">
        <v>0.16052491313570116</v>
      </c>
      <c r="M28">
        <v>0.19010554259708984</v>
      </c>
      <c r="N28">
        <v>0.22218617205847857</v>
      </c>
      <c r="O28">
        <v>0.2567668015198673</v>
      </c>
      <c r="P28">
        <v>0.293847430981256</v>
      </c>
      <c r="Q28">
        <v>0.33342806044264467</v>
      </c>
      <c r="R28">
        <v>0.3755086899040334</v>
      </c>
      <c r="S28">
        <v>0.42008931936542215</v>
      </c>
      <c r="T28">
        <v>0.4671699488268109</v>
      </c>
      <c r="U28">
        <v>0.5167505782881996</v>
      </c>
      <c r="V28">
        <v>0.5688312077495883</v>
      </c>
      <c r="W28">
        <v>0.6234118372109768</v>
      </c>
      <c r="X28">
        <v>0.6804924666723657</v>
      </c>
      <c r="Y28">
        <v>0.7400730961337544</v>
      </c>
      <c r="Z28">
        <v>0.8021537255951432</v>
      </c>
      <c r="AA28" s="53">
        <v>0.8667343550565318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A33"/>
  <sheetViews>
    <sheetView zoomScale="75" zoomScaleNormal="75" workbookViewId="0" topLeftCell="A1">
      <selection activeCell="A10" sqref="A10"/>
    </sheetView>
  </sheetViews>
  <sheetFormatPr defaultColWidth="9.00390625" defaultRowHeight="12.75"/>
  <cols>
    <col min="2" max="2" width="12.00390625" style="0" customWidth="1"/>
    <col min="3" max="3" width="10.875" style="0" customWidth="1"/>
    <col min="5" max="5" width="16.875" style="0" customWidth="1"/>
    <col min="6" max="6" width="6.125" style="0" customWidth="1"/>
    <col min="7" max="7" width="6.875" style="0" customWidth="1"/>
    <col min="8" max="8" width="6.75390625" style="0" customWidth="1"/>
    <col min="9" max="9" width="6.25390625" style="0" customWidth="1"/>
    <col min="10" max="10" width="13.25390625" style="0" customWidth="1"/>
    <col min="11" max="11" width="10.75390625" style="0" customWidth="1"/>
    <col min="12" max="12" width="15.125" style="0" customWidth="1"/>
    <col min="13" max="13" width="11.75390625" style="0" customWidth="1"/>
    <col min="14" max="16384" width="11.375" style="0" customWidth="1"/>
  </cols>
  <sheetData>
    <row r="1" spans="1:16" s="5" customFormat="1" ht="12.75">
      <c r="A1" s="4" t="s">
        <v>35</v>
      </c>
      <c r="B1" s="4"/>
      <c r="C1" s="4"/>
      <c r="F1" s="1" t="s">
        <v>1</v>
      </c>
      <c r="G1" s="1"/>
      <c r="H1" s="1"/>
      <c r="I1" s="1" t="s">
        <v>2</v>
      </c>
      <c r="J1" s="1"/>
      <c r="K1" s="1"/>
      <c r="L1" s="1" t="s">
        <v>3</v>
      </c>
      <c r="M1" s="1" t="s">
        <v>40</v>
      </c>
      <c r="N1"/>
      <c r="O1" t="s">
        <v>42</v>
      </c>
      <c r="P1"/>
    </row>
    <row r="2" spans="1:16" ht="13.5" thickBot="1">
      <c r="A2" s="4"/>
      <c r="B2" s="4" t="s">
        <v>37</v>
      </c>
      <c r="C2" s="4" t="s">
        <v>36</v>
      </c>
      <c r="E2" s="1" t="s">
        <v>0</v>
      </c>
      <c r="F2" s="1" t="s">
        <v>4</v>
      </c>
      <c r="G2" s="1" t="s">
        <v>5</v>
      </c>
      <c r="H2" s="1" t="s">
        <v>6</v>
      </c>
      <c r="I2" s="3" t="s">
        <v>4</v>
      </c>
      <c r="J2" s="3" t="s">
        <v>5</v>
      </c>
      <c r="K2" s="3" t="s">
        <v>6</v>
      </c>
      <c r="L2" t="s">
        <v>7</v>
      </c>
      <c r="M2" s="3" t="s">
        <v>41</v>
      </c>
      <c r="N2" s="3" t="s">
        <v>39</v>
      </c>
      <c r="O2" s="3" t="s">
        <v>43</v>
      </c>
      <c r="P2" s="3" t="s">
        <v>44</v>
      </c>
    </row>
    <row r="3" spans="1:16" ht="12.75">
      <c r="A3" s="3" t="s">
        <v>4</v>
      </c>
      <c r="B3" s="3">
        <v>1479</v>
      </c>
      <c r="C3" s="8">
        <f>B3/B$6</f>
        <v>0.3179961298645453</v>
      </c>
      <c r="E3" s="20" t="s">
        <v>8</v>
      </c>
      <c r="F3" s="23">
        <f>$A$10</f>
        <v>0.35</v>
      </c>
      <c r="G3" s="24">
        <f>(1-$A$10)/2</f>
        <v>0.325</v>
      </c>
      <c r="H3" s="28">
        <f>(1-$A$10)/2</f>
        <v>0.325</v>
      </c>
      <c r="I3" s="12">
        <f>C$3</f>
        <v>0.3179961298645453</v>
      </c>
      <c r="J3" s="12">
        <f>C$4</f>
        <v>0.5162330681573855</v>
      </c>
      <c r="K3" s="13">
        <f>C$5</f>
        <v>0.16577080197806923</v>
      </c>
      <c r="L3" s="31">
        <f>((I3-F3)^2)+((J3-G3)^2)+((K3-H3)^2)</f>
        <v>0.06294827156324152</v>
      </c>
      <c r="M3" s="32">
        <f>C3</f>
        <v>0.3179961298645453</v>
      </c>
      <c r="N3" s="12">
        <f>1-M3</f>
        <v>0.6820038701354547</v>
      </c>
      <c r="O3" s="42" t="s">
        <v>47</v>
      </c>
      <c r="P3" s="33">
        <f>IF($C$4&gt;$C$5,$C$5/$C$4,$C$4/$C$5)</f>
        <v>0.3211162015826739</v>
      </c>
    </row>
    <row r="4" spans="1:16" ht="12.75">
      <c r="A4" s="3" t="s">
        <v>5</v>
      </c>
      <c r="B4" s="41">
        <v>2401</v>
      </c>
      <c r="C4" s="8">
        <f>B4/B$6</f>
        <v>0.5162330681573855</v>
      </c>
      <c r="E4" s="21" t="s">
        <v>9</v>
      </c>
      <c r="F4" s="25">
        <f>(1-$A$10)/2</f>
        <v>0.325</v>
      </c>
      <c r="G4" s="2">
        <f>$A$10</f>
        <v>0.35</v>
      </c>
      <c r="H4" s="29">
        <f>(1-$A$10)/2</f>
        <v>0.325</v>
      </c>
      <c r="I4" s="15">
        <f aca="true" t="shared" si="0" ref="I4:I14">C$3</f>
        <v>0.3179961298645453</v>
      </c>
      <c r="J4" s="15">
        <f aca="true" t="shared" si="1" ref="J4:J14">C$4</f>
        <v>0.5162330681573855</v>
      </c>
      <c r="K4" s="16">
        <f aca="true" t="shared" si="2" ref="K4:K14">C$5</f>
        <v>0.16577080197806923</v>
      </c>
      <c r="L4" s="34">
        <f>((I3-F4)^2)+((J3-G4)^2)+((K3-H4)^2)</f>
        <v>0.05303642464859952</v>
      </c>
      <c r="M4" s="35">
        <f>C4</f>
        <v>0.5162330681573855</v>
      </c>
      <c r="N4" s="15">
        <f aca="true" t="shared" si="3" ref="N4:N14">1-M4</f>
        <v>0.48376693184261454</v>
      </c>
      <c r="O4" s="43" t="s">
        <v>47</v>
      </c>
      <c r="P4" s="36">
        <f>IF(C$3&gt;C$5,C$5/C$3,C$3/C$5)</f>
        <v>0.5212981744421906</v>
      </c>
    </row>
    <row r="5" spans="1:16" ht="12.75">
      <c r="A5" s="3" t="s">
        <v>6</v>
      </c>
      <c r="B5" s="41">
        <v>771</v>
      </c>
      <c r="C5" s="8">
        <f>B5/B$6</f>
        <v>0.16577080197806923</v>
      </c>
      <c r="E5" s="21" t="s">
        <v>10</v>
      </c>
      <c r="F5" s="25">
        <f>(1-$A$10)/2</f>
        <v>0.325</v>
      </c>
      <c r="G5" s="2">
        <f>(1-$A$10)/2</f>
        <v>0.325</v>
      </c>
      <c r="H5" s="29">
        <f>$A$10</f>
        <v>0.35</v>
      </c>
      <c r="I5" s="15">
        <f t="shared" si="0"/>
        <v>0.3179961298645453</v>
      </c>
      <c r="J5" s="15">
        <f t="shared" si="1"/>
        <v>0.5162330681573855</v>
      </c>
      <c r="K5" s="16">
        <f t="shared" si="2"/>
        <v>0.16577080197806923</v>
      </c>
      <c r="L5" s="34">
        <f aca="true" t="shared" si="4" ref="L5:L14">((I5-F5)^2)+((J5-G5)^2)+((K5-H5)^2)</f>
        <v>0.07055953795756531</v>
      </c>
      <c r="M5" s="35">
        <f>C5</f>
        <v>0.16577080197806923</v>
      </c>
      <c r="N5" s="15">
        <f t="shared" si="3"/>
        <v>0.8342291980219307</v>
      </c>
      <c r="O5" s="43" t="s">
        <v>47</v>
      </c>
      <c r="P5" s="36">
        <f>IF($C$3&gt;$C$4,$C$4/$C$3,$C$3/$C$4)</f>
        <v>0.6159933361099543</v>
      </c>
    </row>
    <row r="6" spans="1:16" ht="12.75">
      <c r="A6" s="4" t="s">
        <v>34</v>
      </c>
      <c r="B6" s="4">
        <f>SUM(B3:B5)</f>
        <v>4651</v>
      </c>
      <c r="C6" s="6"/>
      <c r="E6" s="21" t="s">
        <v>11</v>
      </c>
      <c r="F6" s="25">
        <v>0.5</v>
      </c>
      <c r="G6" s="2">
        <f>$A$10/2</f>
        <v>0.175</v>
      </c>
      <c r="H6" s="29">
        <f>(1-$A$10)/2</f>
        <v>0.325</v>
      </c>
      <c r="I6" s="15">
        <f t="shared" si="0"/>
        <v>0.3179961298645453</v>
      </c>
      <c r="J6" s="15">
        <f t="shared" si="1"/>
        <v>0.5162330681573855</v>
      </c>
      <c r="K6" s="16">
        <f t="shared" si="2"/>
        <v>0.16577080197806923</v>
      </c>
      <c r="L6" s="34">
        <f t="shared" si="4"/>
        <v>0.17491935305109357</v>
      </c>
      <c r="M6" s="35">
        <f>C$4/(C$4+C$5)</f>
        <v>0.7569356872635561</v>
      </c>
      <c r="N6" s="15">
        <f t="shared" si="3"/>
        <v>0.2430643127364439</v>
      </c>
      <c r="O6" s="43">
        <f>IF(C$3/(C$4+C$5)&lt;1,C$3/(C$4+C$5),1/(C$3/(C$4+C$5)))</f>
        <v>0.46626733921815894</v>
      </c>
      <c r="P6" s="36" t="s">
        <v>47</v>
      </c>
    </row>
    <row r="7" spans="3:16" ht="12.75">
      <c r="C7" s="4"/>
      <c r="E7" s="21" t="s">
        <v>12</v>
      </c>
      <c r="F7" s="25">
        <f>(1-$A$10)/2</f>
        <v>0.325</v>
      </c>
      <c r="G7" s="2">
        <f>$A$10/2</f>
        <v>0.175</v>
      </c>
      <c r="H7" s="29">
        <v>0.5</v>
      </c>
      <c r="I7" s="15">
        <f t="shared" si="0"/>
        <v>0.3179961298645453</v>
      </c>
      <c r="J7" s="15">
        <f t="shared" si="1"/>
        <v>0.5162330681573855</v>
      </c>
      <c r="K7" s="16">
        <f t="shared" si="2"/>
        <v>0.16577080197806923</v>
      </c>
      <c r="L7" s="34">
        <f t="shared" si="4"/>
        <v>0.22819821781136018</v>
      </c>
      <c r="M7" s="35">
        <f>C$4/(C$3+C$4)</f>
        <v>0.6188144329896906</v>
      </c>
      <c r="N7" s="15">
        <f t="shared" si="3"/>
        <v>0.38118556701030937</v>
      </c>
      <c r="O7" s="43">
        <f>IF(C$5/(C$3+C$4)&lt;1,C$5/(C$3+C$4),1/(C$5/(C$3+C$4)))</f>
        <v>0.19871134020618558</v>
      </c>
      <c r="P7" s="36" t="s">
        <v>47</v>
      </c>
    </row>
    <row r="8" spans="5:16" ht="12.75">
      <c r="E8" s="21" t="s">
        <v>13</v>
      </c>
      <c r="F8" s="25">
        <f>$A$10/2</f>
        <v>0.175</v>
      </c>
      <c r="G8" s="2">
        <v>0.5</v>
      </c>
      <c r="H8" s="29">
        <f>(1-$A$10)/2</f>
        <v>0.325</v>
      </c>
      <c r="I8" s="15">
        <f t="shared" si="0"/>
        <v>0.3179961298645453</v>
      </c>
      <c r="J8" s="15">
        <f t="shared" si="1"/>
        <v>0.5162330681573855</v>
      </c>
      <c r="K8" s="16">
        <f t="shared" si="2"/>
        <v>0.16577080197806923</v>
      </c>
      <c r="L8" s="34">
        <f t="shared" si="4"/>
        <v>0.046065343160747466</v>
      </c>
      <c r="M8" s="35">
        <f>C$3/(C$3+C$5)</f>
        <v>0.6573333333333333</v>
      </c>
      <c r="N8" s="15">
        <f t="shared" si="3"/>
        <v>0.3426666666666667</v>
      </c>
      <c r="O8" s="43">
        <f>IF(C4/(C3+C5)&lt;1,C4/(C3+C5),1/(C4/(C3+C5)))</f>
        <v>0.9371095376926283</v>
      </c>
      <c r="P8" s="36" t="s">
        <v>47</v>
      </c>
    </row>
    <row r="9" spans="1:16" ht="12.75">
      <c r="A9" s="3" t="s">
        <v>38</v>
      </c>
      <c r="B9" s="3" t="s">
        <v>39</v>
      </c>
      <c r="E9" s="21" t="s">
        <v>14</v>
      </c>
      <c r="F9" s="25">
        <f>$B$10</f>
        <v>0.65</v>
      </c>
      <c r="G9" s="2">
        <f>(1-$B$10)/2</f>
        <v>0.175</v>
      </c>
      <c r="H9" s="29">
        <f>(1-$B$10)/2</f>
        <v>0.175</v>
      </c>
      <c r="I9" s="15">
        <f t="shared" si="0"/>
        <v>0.3179961298645453</v>
      </c>
      <c r="J9" s="15">
        <f t="shared" si="1"/>
        <v>0.5162330681573855</v>
      </c>
      <c r="K9" s="16">
        <f t="shared" si="2"/>
        <v>0.16577080197806923</v>
      </c>
      <c r="L9" s="34">
        <f t="shared" si="4"/>
        <v>0.2267517546851508</v>
      </c>
      <c r="M9" s="35">
        <f>C4+C5</f>
        <v>0.6820038701354547</v>
      </c>
      <c r="N9" s="15">
        <f t="shared" si="3"/>
        <v>0.3179961298645453</v>
      </c>
      <c r="O9" s="43">
        <f>IF(B$4&gt;B$5,B$5/B$4,B$4/B$5)</f>
        <v>0.3211162015826739</v>
      </c>
      <c r="P9" s="37" t="s">
        <v>47</v>
      </c>
    </row>
    <row r="10" spans="1:16" ht="12.75">
      <c r="A10" s="10">
        <v>0.35</v>
      </c>
      <c r="B10" s="10">
        <f>1-A10</f>
        <v>0.65</v>
      </c>
      <c r="E10" s="21" t="s">
        <v>15</v>
      </c>
      <c r="F10" s="25">
        <f>(1-$B$10)/2</f>
        <v>0.175</v>
      </c>
      <c r="G10" s="2">
        <f>$B$10</f>
        <v>0.65</v>
      </c>
      <c r="H10" s="29">
        <f>(1-$B$10)/2</f>
        <v>0.175</v>
      </c>
      <c r="I10" s="15">
        <f t="shared" si="0"/>
        <v>0.3179961298645453</v>
      </c>
      <c r="J10" s="15">
        <f t="shared" si="1"/>
        <v>0.5162330681573855</v>
      </c>
      <c r="K10" s="16">
        <f t="shared" si="2"/>
        <v>0.16577080197806923</v>
      </c>
      <c r="L10" s="34">
        <f t="shared" si="4"/>
        <v>0.03842666330695261</v>
      </c>
      <c r="M10" s="35">
        <f>C3+C5</f>
        <v>0.48376693184261454</v>
      </c>
      <c r="N10" s="15">
        <f t="shared" si="3"/>
        <v>0.5162330681573855</v>
      </c>
      <c r="O10" s="43">
        <f>IF(B$3&gt;B$5,B$5/B$3,B$3/B$5)</f>
        <v>0.5212981744421906</v>
      </c>
      <c r="P10" s="37" t="s">
        <v>47</v>
      </c>
    </row>
    <row r="11" spans="5:16" ht="12.75">
      <c r="E11" s="21" t="s">
        <v>16</v>
      </c>
      <c r="F11" s="25">
        <f>(1-$B$10)/2</f>
        <v>0.175</v>
      </c>
      <c r="G11" s="2">
        <f>(1-$B$10)/2</f>
        <v>0.175</v>
      </c>
      <c r="H11" s="29">
        <f>$B$10</f>
        <v>0.65</v>
      </c>
      <c r="I11" s="15">
        <f t="shared" si="0"/>
        <v>0.3179961298645453</v>
      </c>
      <c r="J11" s="15">
        <f t="shared" si="1"/>
        <v>0.5162330681573855</v>
      </c>
      <c r="K11" s="16">
        <f t="shared" si="2"/>
        <v>0.16577080197806923</v>
      </c>
      <c r="L11" s="34">
        <f t="shared" si="4"/>
        <v>0.371365816177303</v>
      </c>
      <c r="M11" s="35">
        <f>C3+C4</f>
        <v>0.8342291980219307</v>
      </c>
      <c r="N11" s="15">
        <f t="shared" si="3"/>
        <v>0.16577080197806926</v>
      </c>
      <c r="O11" s="43">
        <f>IF($C$3&gt;$C$4,$C$4/$C$3,$C$3/$C$4)</f>
        <v>0.6159933361099543</v>
      </c>
      <c r="P11" s="37" t="s">
        <v>47</v>
      </c>
    </row>
    <row r="12" spans="5:18" ht="12.75">
      <c r="E12" s="21" t="s">
        <v>17</v>
      </c>
      <c r="F12" s="25">
        <v>0.5</v>
      </c>
      <c r="G12" s="2">
        <f>$B$10/2</f>
        <v>0.325</v>
      </c>
      <c r="H12" s="29">
        <f>(1-$B$10)/2</f>
        <v>0.175</v>
      </c>
      <c r="I12" s="15">
        <f t="shared" si="0"/>
        <v>0.3179961298645453</v>
      </c>
      <c r="J12" s="15">
        <f t="shared" si="1"/>
        <v>0.5162330681573855</v>
      </c>
      <c r="K12" s="16">
        <f t="shared" si="2"/>
        <v>0.16577080197806923</v>
      </c>
      <c r="L12" s="34">
        <f t="shared" si="4"/>
        <v>0.0697806731972987</v>
      </c>
      <c r="M12" s="35">
        <f>C5/(C3+C5)</f>
        <v>0.3426666666666666</v>
      </c>
      <c r="N12" s="15">
        <f t="shared" si="3"/>
        <v>0.6573333333333333</v>
      </c>
      <c r="O12" s="43">
        <f>IF(C$3/(C$4+C$5)&lt;1,C$3/(C$4+C$5),1/(C$3/(C$4+C$5)))</f>
        <v>0.46626733921815894</v>
      </c>
      <c r="P12" s="36" t="s">
        <v>47</v>
      </c>
      <c r="R12">
        <f>LOG(0.04)</f>
        <v>-1.3979400086720375</v>
      </c>
    </row>
    <row r="13" spans="5:16" ht="12.75">
      <c r="E13" s="21" t="s">
        <v>18</v>
      </c>
      <c r="F13" s="25">
        <f>(1-$B$10)/2</f>
        <v>0.175</v>
      </c>
      <c r="G13" s="2">
        <f>$B$10/2</f>
        <v>0.325</v>
      </c>
      <c r="H13" s="29">
        <v>0.5</v>
      </c>
      <c r="I13" s="15">
        <f t="shared" si="0"/>
        <v>0.3179961298645453</v>
      </c>
      <c r="J13" s="15">
        <f t="shared" si="1"/>
        <v>0.5162330681573855</v>
      </c>
      <c r="K13" s="16">
        <f t="shared" si="2"/>
        <v>0.16577080197806923</v>
      </c>
      <c r="L13" s="34">
        <f t="shared" si="4"/>
        <v>0.1687271363235081</v>
      </c>
      <c r="M13" s="35">
        <f>C3/(C3+C4)</f>
        <v>0.3811855670103093</v>
      </c>
      <c r="N13" s="15">
        <f t="shared" si="3"/>
        <v>0.6188144329896907</v>
      </c>
      <c r="O13" s="43">
        <f>IF(C$5/(C$3+C$4)&lt;1,C$5/(C$3+C$4),1/(C$5/(C$3+C$4)))</f>
        <v>0.19871134020618558</v>
      </c>
      <c r="P13" s="36" t="s">
        <v>47</v>
      </c>
    </row>
    <row r="14" spans="5:16" ht="13.5" thickBot="1">
      <c r="E14" s="22" t="s">
        <v>19</v>
      </c>
      <c r="F14" s="26">
        <f>$B$10/2</f>
        <v>0.325</v>
      </c>
      <c r="G14" s="27">
        <v>0.5</v>
      </c>
      <c r="H14" s="30">
        <f>(1-$B$10)/2</f>
        <v>0.175</v>
      </c>
      <c r="I14" s="18">
        <f t="shared" si="0"/>
        <v>0.3179961298645453</v>
      </c>
      <c r="J14" s="18">
        <f t="shared" si="1"/>
        <v>0.5162330681573855</v>
      </c>
      <c r="K14" s="19">
        <f t="shared" si="2"/>
        <v>0.16577080197806923</v>
      </c>
      <c r="L14" s="38">
        <f t="shared" si="4"/>
        <v>0.0003977447948046468</v>
      </c>
      <c r="M14" s="39">
        <f>C5/(C3+C5)</f>
        <v>0.3426666666666666</v>
      </c>
      <c r="N14" s="18">
        <f t="shared" si="3"/>
        <v>0.6573333333333333</v>
      </c>
      <c r="O14" s="44">
        <f>IF(C4/(C3+C5)&lt;1,C4/(C3+C5),1/(C4/(C3+C5)))</f>
        <v>0.9371095376926283</v>
      </c>
      <c r="P14" s="40" t="s">
        <v>47</v>
      </c>
    </row>
    <row r="16" ht="12.75">
      <c r="P16" s="1"/>
    </row>
    <row r="17" ht="12.75">
      <c r="P17" s="1"/>
    </row>
    <row r="18" ht="12.75">
      <c r="P18" s="1"/>
    </row>
    <row r="19" spans="16:26" ht="12.75">
      <c r="P19" s="1"/>
      <c r="Z19" s="1"/>
    </row>
    <row r="20" spans="11:16" ht="12.75">
      <c r="K20" t="s">
        <v>38</v>
      </c>
      <c r="P20" s="1"/>
    </row>
    <row r="21" spans="11:27" ht="12.75">
      <c r="K21" s="3">
        <v>0.1</v>
      </c>
      <c r="L21" s="3">
        <v>0.15</v>
      </c>
      <c r="M21" s="3">
        <v>0.2</v>
      </c>
      <c r="N21" s="3">
        <v>0.25</v>
      </c>
      <c r="O21" s="3">
        <v>0.3</v>
      </c>
      <c r="P21" s="3">
        <v>0.35</v>
      </c>
      <c r="Q21" s="3">
        <v>0.4</v>
      </c>
      <c r="R21" s="3">
        <v>0.45</v>
      </c>
      <c r="S21" s="3">
        <v>0.5</v>
      </c>
      <c r="T21" s="3">
        <v>0.55</v>
      </c>
      <c r="U21" s="3">
        <v>0.6</v>
      </c>
      <c r="V21" s="3">
        <v>0.65</v>
      </c>
      <c r="W21" s="3">
        <v>0.7</v>
      </c>
      <c r="X21" s="3">
        <v>0.75</v>
      </c>
      <c r="Y21" s="3">
        <v>0.8</v>
      </c>
      <c r="Z21" s="3">
        <v>0.85</v>
      </c>
      <c r="AA21" s="3">
        <v>0.9</v>
      </c>
    </row>
    <row r="22" spans="10:27" ht="12.75">
      <c r="J22" s="3" t="s">
        <v>8</v>
      </c>
      <c r="K22" s="7">
        <v>0.13269536896165052</v>
      </c>
      <c r="L22" s="7">
        <v>0.10374594948196872</v>
      </c>
      <c r="M22" s="7">
        <v>0.0822965300022869</v>
      </c>
      <c r="N22" s="7">
        <v>0.06834711052260511</v>
      </c>
      <c r="O22" s="7">
        <v>0.061897691042923315</v>
      </c>
      <c r="P22" s="7">
        <v>0.06294827156324152</v>
      </c>
      <c r="Q22" s="7">
        <v>0.07149885208355973</v>
      </c>
      <c r="R22" s="7">
        <v>0.08754943260387793</v>
      </c>
      <c r="S22" s="7">
        <v>0.11110001312419614</v>
      </c>
      <c r="T22" s="7">
        <v>0.14215059364451435</v>
      </c>
      <c r="U22" s="7">
        <v>0.18070117416483253</v>
      </c>
      <c r="V22" s="7">
        <v>0.2267517546851508</v>
      </c>
      <c r="W22" s="7">
        <v>0.2803023352054689</v>
      </c>
      <c r="X22" s="7">
        <v>0.3413529157257872</v>
      </c>
      <c r="Y22" s="7">
        <v>0.40990349624610545</v>
      </c>
      <c r="Z22" s="7">
        <v>0.48595407676642355</v>
      </c>
      <c r="AA22" s="7">
        <v>0.5695046572867418</v>
      </c>
    </row>
    <row r="23" spans="10:27" ht="12.75">
      <c r="J23" s="3" t="s">
        <v>9</v>
      </c>
      <c r="K23" s="7">
        <v>0.27146122576663867</v>
      </c>
      <c r="L23" s="7">
        <v>0.21277626554303078</v>
      </c>
      <c r="M23" s="7">
        <v>0.16159130531942298</v>
      </c>
      <c r="N23" s="7">
        <v>0.11790634509581514</v>
      </c>
      <c r="O23" s="7">
        <v>0.08172138487220733</v>
      </c>
      <c r="P23" s="7">
        <v>0.05303642464859952</v>
      </c>
      <c r="Q23" s="7">
        <v>0.031851464424991684</v>
      </c>
      <c r="R23" s="7">
        <v>0.018166504201383875</v>
      </c>
      <c r="S23" s="7">
        <v>0.011981543977776055</v>
      </c>
      <c r="T23" s="7">
        <v>0.013296583754168239</v>
      </c>
      <c r="U23" s="7">
        <v>0.02211162353056041</v>
      </c>
      <c r="V23" s="7">
        <v>0.03842666330695261</v>
      </c>
      <c r="W23" s="7">
        <v>0.06224170308334476</v>
      </c>
      <c r="X23" s="7">
        <v>0.09355674285973695</v>
      </c>
      <c r="Y23" s="7">
        <v>0.13237178263612917</v>
      </c>
      <c r="Z23" s="7">
        <v>0.1786868224125213</v>
      </c>
      <c r="AA23" s="7">
        <v>0.2325018621889135</v>
      </c>
    </row>
    <row r="24" spans="10:27" ht="12.75">
      <c r="J24" s="3" t="s">
        <v>10</v>
      </c>
      <c r="K24" s="7">
        <v>0.026137639441117258</v>
      </c>
      <c r="L24" s="7">
        <v>0.02002201914440687</v>
      </c>
      <c r="M24" s="7">
        <v>0.021406398847696483</v>
      </c>
      <c r="N24" s="7">
        <v>0.030290778550986098</v>
      </c>
      <c r="O24" s="7">
        <v>0.04667515825427571</v>
      </c>
      <c r="P24" s="7">
        <v>0.07055953795756531</v>
      </c>
      <c r="Q24" s="7">
        <v>0.10194391766085495</v>
      </c>
      <c r="R24" s="7">
        <v>0.14082829736414457</v>
      </c>
      <c r="S24" s="7">
        <v>0.18721267706743414</v>
      </c>
      <c r="T24" s="7">
        <v>0.2410970567707238</v>
      </c>
      <c r="U24" s="7">
        <v>0.3024814364740133</v>
      </c>
      <c r="V24" s="7">
        <v>0.371365816177303</v>
      </c>
      <c r="W24" s="7">
        <v>0.4477501958805925</v>
      </c>
      <c r="X24" s="7">
        <v>0.5316345755838823</v>
      </c>
      <c r="Y24" s="7">
        <v>0.6230189552871719</v>
      </c>
      <c r="Z24" s="7">
        <v>0.7219033349904613</v>
      </c>
      <c r="AA24" s="7">
        <v>0.8282877146937511</v>
      </c>
    </row>
    <row r="25" spans="10:27" ht="12.75">
      <c r="J25" s="3" t="s">
        <v>11</v>
      </c>
      <c r="K25" s="7">
        <v>0.33128491959592266</v>
      </c>
      <c r="L25" s="7">
        <v>0.2950118062869568</v>
      </c>
      <c r="M25" s="7">
        <v>0.261238692977991</v>
      </c>
      <c r="N25" s="7">
        <v>0.2299655796690252</v>
      </c>
      <c r="O25" s="7">
        <v>0.20119246636005936</v>
      </c>
      <c r="P25" s="7">
        <v>0.17491935305109357</v>
      </c>
      <c r="Q25" s="7">
        <v>0.15114623974212776</v>
      </c>
      <c r="R25" s="7">
        <v>0.12987312643316196</v>
      </c>
      <c r="S25" s="7">
        <v>0.11110001312419614</v>
      </c>
      <c r="T25" s="7">
        <v>0.0948268998152303</v>
      </c>
      <c r="U25" s="7">
        <v>0.08105378650626452</v>
      </c>
      <c r="V25" s="7">
        <v>0.0697806731972987</v>
      </c>
      <c r="W25" s="7">
        <v>0.061007559888332896</v>
      </c>
      <c r="X25" s="7">
        <v>0.05473444657936708</v>
      </c>
      <c r="Y25" s="7">
        <v>0.05096133327040127</v>
      </c>
      <c r="Z25" s="7">
        <v>0.04968821996143546</v>
      </c>
      <c r="AA25" s="7">
        <v>0.05091510665246965</v>
      </c>
    </row>
    <row r="26" spans="10:27" ht="12.75">
      <c r="J26" s="3" t="s">
        <v>12</v>
      </c>
      <c r="K26" s="7">
        <v>0.34650745238457026</v>
      </c>
      <c r="L26" s="7">
        <v>0.3178456054699282</v>
      </c>
      <c r="M26" s="7">
        <v>0.2916837585552862</v>
      </c>
      <c r="N26" s="7">
        <v>0.26802191164064415</v>
      </c>
      <c r="O26" s="7">
        <v>0.24686006472600214</v>
      </c>
      <c r="P26" s="7">
        <v>0.22819821781136018</v>
      </c>
      <c r="Q26" s="7">
        <v>0.21203637089671817</v>
      </c>
      <c r="R26" s="7">
        <v>0.19837452398207617</v>
      </c>
      <c r="S26" s="7">
        <v>0.18721267706743414</v>
      </c>
      <c r="T26" s="7">
        <v>0.17855083015279213</v>
      </c>
      <c r="U26" s="7">
        <v>0.17238898323815013</v>
      </c>
      <c r="V26" s="7">
        <v>0.1687271363235081</v>
      </c>
      <c r="W26" s="7">
        <v>0.1675652894088661</v>
      </c>
      <c r="X26" s="7">
        <v>0.1689034424942241</v>
      </c>
      <c r="Y26" s="7">
        <v>0.1727415955795821</v>
      </c>
      <c r="Z26" s="7">
        <v>0.17907974866494009</v>
      </c>
      <c r="AA26" s="7">
        <v>0.1879179017502981</v>
      </c>
    </row>
    <row r="27" spans="10:27" ht="12.75">
      <c r="J27" s="3" t="s">
        <v>13</v>
      </c>
      <c r="K27" s="7">
        <v>0.1528716751323665</v>
      </c>
      <c r="L27" s="7">
        <v>0.12651040873804267</v>
      </c>
      <c r="M27" s="7">
        <v>0.10264914234371889</v>
      </c>
      <c r="N27" s="7">
        <v>0.08128787594939507</v>
      </c>
      <c r="O27" s="7">
        <v>0.06242660955507126</v>
      </c>
      <c r="P27" s="7">
        <v>0.046065343160747466</v>
      </c>
      <c r="Q27" s="7">
        <v>0.03220407676642366</v>
      </c>
      <c r="R27" s="7">
        <v>0.02084281037209986</v>
      </c>
      <c r="S27" s="7">
        <v>0.011981543977776055</v>
      </c>
      <c r="T27" s="7">
        <v>0.005620277583452248</v>
      </c>
      <c r="U27" s="7">
        <v>0.0017590111891284507</v>
      </c>
      <c r="V27" s="7">
        <v>0.0003977447948046468</v>
      </c>
      <c r="W27" s="7">
        <v>0.001536478400480842</v>
      </c>
      <c r="X27" s="7">
        <v>0.005175212006157041</v>
      </c>
      <c r="Y27" s="7">
        <v>0.011313945611833246</v>
      </c>
      <c r="Z27" s="7">
        <v>0.01995267921750943</v>
      </c>
      <c r="AA27" s="7">
        <v>0.03109141282318564</v>
      </c>
    </row>
    <row r="28" spans="10:27" ht="12.75">
      <c r="J28" s="3" t="s">
        <v>14</v>
      </c>
      <c r="K28" s="7">
        <v>0.5695046572867418</v>
      </c>
      <c r="L28" s="7">
        <v>0.48595407676642355</v>
      </c>
      <c r="M28" s="7">
        <v>0.40990349624610545</v>
      </c>
      <c r="N28" s="7">
        <v>0.3413529157257872</v>
      </c>
      <c r="O28" s="7">
        <v>0.2803023352054689</v>
      </c>
      <c r="P28" s="7">
        <v>0.2267517546851508</v>
      </c>
      <c r="Q28" s="7">
        <v>0.18070117416483253</v>
      </c>
      <c r="R28" s="7">
        <v>0.14215059364451435</v>
      </c>
      <c r="S28" s="7">
        <v>0.11110001312419614</v>
      </c>
      <c r="T28" s="7">
        <v>0.0875494326038779</v>
      </c>
      <c r="U28" s="7">
        <v>0.07149885208355973</v>
      </c>
      <c r="V28" s="7">
        <v>0.06294827156324152</v>
      </c>
      <c r="W28" s="7">
        <v>0.061897691042923315</v>
      </c>
      <c r="X28" s="7">
        <v>0.06834711052260511</v>
      </c>
      <c r="Y28" s="7">
        <v>0.08229653000228693</v>
      </c>
      <c r="Z28" s="7">
        <v>0.1037459494819687</v>
      </c>
      <c r="AA28" s="7">
        <v>0.13269536896165052</v>
      </c>
    </row>
    <row r="29" spans="10:27" ht="12.75">
      <c r="J29" s="3" t="s">
        <v>15</v>
      </c>
      <c r="K29" s="7">
        <v>0.2325018621889135</v>
      </c>
      <c r="L29" s="7">
        <v>0.1786868224125213</v>
      </c>
      <c r="M29" s="7">
        <v>0.13237178263612917</v>
      </c>
      <c r="N29" s="7">
        <v>0.09355674285973695</v>
      </c>
      <c r="O29" s="7">
        <v>0.06224170308334476</v>
      </c>
      <c r="P29" s="7">
        <v>0.03842666330695261</v>
      </c>
      <c r="Q29" s="7">
        <v>0.02211162353056041</v>
      </c>
      <c r="R29" s="7">
        <v>0.013296583754168239</v>
      </c>
      <c r="S29" s="7">
        <v>0.011981543977776055</v>
      </c>
      <c r="T29" s="7">
        <v>0.018166504201383882</v>
      </c>
      <c r="U29" s="7">
        <v>0.031851464424991684</v>
      </c>
      <c r="V29" s="7">
        <v>0.05303642464859952</v>
      </c>
      <c r="W29" s="7">
        <v>0.08172138487220731</v>
      </c>
      <c r="X29" s="7">
        <v>0.11790634509581514</v>
      </c>
      <c r="Y29" s="7">
        <v>0.161591305319423</v>
      </c>
      <c r="Z29" s="7">
        <v>0.21277626554303078</v>
      </c>
      <c r="AA29" s="7">
        <v>0.27146122576663867</v>
      </c>
    </row>
    <row r="30" spans="10:27" ht="12.75">
      <c r="J30" s="3" t="s">
        <v>16</v>
      </c>
      <c r="K30" s="7">
        <v>0.8282877146937511</v>
      </c>
      <c r="L30" s="7">
        <v>0.7219033349904613</v>
      </c>
      <c r="M30" s="7">
        <v>0.6230189552871719</v>
      </c>
      <c r="N30" s="7">
        <v>0.5316345755838823</v>
      </c>
      <c r="O30" s="7">
        <v>0.4477501958805925</v>
      </c>
      <c r="P30" s="7">
        <v>0.371365816177303</v>
      </c>
      <c r="Q30" s="7">
        <v>0.3024814364740133</v>
      </c>
      <c r="R30" s="7">
        <v>0.2410970567707238</v>
      </c>
      <c r="S30" s="7">
        <v>0.18721267706743414</v>
      </c>
      <c r="T30" s="7">
        <v>0.14082829736414448</v>
      </c>
      <c r="U30" s="7">
        <v>0.10194391766085495</v>
      </c>
      <c r="V30" s="7">
        <v>0.07055953795756531</v>
      </c>
      <c r="W30" s="7">
        <v>0.04667515825427573</v>
      </c>
      <c r="X30" s="7">
        <v>0.030290778550986098</v>
      </c>
      <c r="Y30" s="7">
        <v>0.02140639884769648</v>
      </c>
      <c r="Z30" s="7">
        <v>0.02002201914440687</v>
      </c>
      <c r="AA30" s="7">
        <v>0.02613763944111726</v>
      </c>
    </row>
    <row r="31" spans="10:27" ht="12.75">
      <c r="J31" s="3" t="s">
        <v>17</v>
      </c>
      <c r="K31" s="7">
        <v>0.05091510665246965</v>
      </c>
      <c r="L31" s="7">
        <v>0.04968821996143546</v>
      </c>
      <c r="M31" s="7">
        <v>0.05096133327040127</v>
      </c>
      <c r="N31" s="7">
        <v>0.05473444657936708</v>
      </c>
      <c r="O31" s="7">
        <v>0.061007559888332896</v>
      </c>
      <c r="P31" s="7">
        <v>0.0697806731972987</v>
      </c>
      <c r="Q31" s="7">
        <v>0.08105378650626452</v>
      </c>
      <c r="R31" s="7">
        <v>0.0948268998152303</v>
      </c>
      <c r="S31" s="7">
        <v>0.11110001312419614</v>
      </c>
      <c r="T31" s="7">
        <v>0.12987312643316196</v>
      </c>
      <c r="U31" s="7">
        <v>0.15114623974212776</v>
      </c>
      <c r="V31" s="7">
        <v>0.17491935305109357</v>
      </c>
      <c r="W31" s="7">
        <v>0.20119246636005936</v>
      </c>
      <c r="X31" s="7">
        <v>0.2299655796690252</v>
      </c>
      <c r="Y31" s="7">
        <v>0.261238692977991</v>
      </c>
      <c r="Z31" s="7">
        <v>0.2950118062869568</v>
      </c>
      <c r="AA31" s="7">
        <v>0.33128491959592266</v>
      </c>
    </row>
    <row r="32" spans="10:27" ht="12.75">
      <c r="J32" s="3" t="s">
        <v>18</v>
      </c>
      <c r="K32" s="7">
        <v>0.1879179017502981</v>
      </c>
      <c r="L32" s="7">
        <v>0.17907974866494009</v>
      </c>
      <c r="M32" s="7">
        <v>0.1727415955795821</v>
      </c>
      <c r="N32" s="7">
        <v>0.1689034424942241</v>
      </c>
      <c r="O32" s="7">
        <v>0.1675652894088661</v>
      </c>
      <c r="P32" s="7">
        <v>0.1687271363235081</v>
      </c>
      <c r="Q32" s="7">
        <v>0.17238898323815013</v>
      </c>
      <c r="R32" s="7">
        <v>0.17855083015279213</v>
      </c>
      <c r="S32" s="7">
        <v>0.18721267706743414</v>
      </c>
      <c r="T32" s="7">
        <v>0.19837452398207617</v>
      </c>
      <c r="U32" s="7">
        <v>0.21203637089671817</v>
      </c>
      <c r="V32" s="7">
        <v>0.22819821781136018</v>
      </c>
      <c r="W32" s="7">
        <v>0.24686006472600214</v>
      </c>
      <c r="X32" s="7">
        <v>0.26802191164064415</v>
      </c>
      <c r="Y32" s="7">
        <v>0.2916837585552862</v>
      </c>
      <c r="Z32" s="7">
        <v>0.3178456054699282</v>
      </c>
      <c r="AA32" s="7">
        <v>0.34650745238457026</v>
      </c>
    </row>
    <row r="33" spans="10:27" ht="12.75">
      <c r="J33" s="3" t="s">
        <v>19</v>
      </c>
      <c r="K33" s="7">
        <v>0.03109141282318564</v>
      </c>
      <c r="L33" s="7">
        <v>0.01995267921750943</v>
      </c>
      <c r="M33" s="7">
        <v>0.011313945611833246</v>
      </c>
      <c r="N33" s="7">
        <v>0.005175212006157041</v>
      </c>
      <c r="O33" s="7">
        <v>0.001536478400480842</v>
      </c>
      <c r="P33" s="7">
        <v>0.0003977447948046468</v>
      </c>
      <c r="Q33" s="7">
        <v>0.0017590111891284507</v>
      </c>
      <c r="R33" s="7">
        <v>0.005620277583452248</v>
      </c>
      <c r="S33" s="7">
        <v>0.011981543977776055</v>
      </c>
      <c r="T33" s="7">
        <v>0.020842810372099868</v>
      </c>
      <c r="U33" s="7">
        <v>0.03220407676642366</v>
      </c>
      <c r="V33" s="7">
        <v>0.046065343160747466</v>
      </c>
      <c r="W33" s="7">
        <v>0.06242660955507125</v>
      </c>
      <c r="X33" s="7">
        <v>0.08128787594939507</v>
      </c>
      <c r="Y33" s="7">
        <v>0.10264914234371889</v>
      </c>
      <c r="Z33" s="7">
        <v>0.12651040873804267</v>
      </c>
      <c r="AA33" s="7">
        <v>0.1528716751323665</v>
      </c>
    </row>
  </sheetData>
  <printOptions gridLines="1"/>
  <pageMargins left="0.75" right="0.75" top="1" bottom="1" header="0.5" footer="0.5"/>
  <pageSetup horizontalDpi="200" verticalDpi="200" orientation="portrait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A27"/>
  <sheetViews>
    <sheetView zoomScale="75" zoomScaleNormal="75" workbookViewId="0" topLeftCell="A1">
      <selection activeCell="AE10" sqref="AE10"/>
    </sheetView>
  </sheetViews>
  <sheetFormatPr defaultColWidth="9.00390625" defaultRowHeight="12.75"/>
  <cols>
    <col min="3" max="3" width="11.625" style="0" customWidth="1"/>
    <col min="5" max="5" width="16.375" style="0" customWidth="1"/>
    <col min="6" max="6" width="13.125" style="0" customWidth="1"/>
    <col min="7" max="7" width="12.375" style="0" customWidth="1"/>
    <col min="8" max="8" width="12.00390625" style="0" customWidth="1"/>
    <col min="9" max="9" width="12.875" style="0" customWidth="1"/>
    <col min="10" max="16384" width="11.375" style="0" customWidth="1"/>
  </cols>
  <sheetData>
    <row r="1" spans="1:17" ht="12.75">
      <c r="A1" s="4" t="s">
        <v>35</v>
      </c>
      <c r="B1" s="4"/>
      <c r="C1" s="4"/>
      <c r="E1" s="1" t="s">
        <v>0</v>
      </c>
      <c r="F1" s="1" t="s">
        <v>1</v>
      </c>
      <c r="G1" s="1"/>
      <c r="H1" s="1"/>
      <c r="I1" s="1"/>
      <c r="J1" s="1" t="s">
        <v>2</v>
      </c>
      <c r="K1" s="1"/>
      <c r="L1" s="1"/>
      <c r="M1" s="1"/>
      <c r="N1" s="1" t="s">
        <v>3</v>
      </c>
      <c r="O1" s="1" t="s">
        <v>40</v>
      </c>
      <c r="Q1" t="s">
        <v>42</v>
      </c>
    </row>
    <row r="2" spans="1:18" ht="13.5" thickBot="1">
      <c r="A2" s="4"/>
      <c r="B2" s="4" t="s">
        <v>37</v>
      </c>
      <c r="C2" s="4" t="s">
        <v>36</v>
      </c>
      <c r="F2" s="3" t="s">
        <v>4</v>
      </c>
      <c r="G2" s="3" t="s">
        <v>5</v>
      </c>
      <c r="H2" s="3" t="s">
        <v>6</v>
      </c>
      <c r="I2" s="3" t="s">
        <v>20</v>
      </c>
      <c r="J2" s="3" t="s">
        <v>4</v>
      </c>
      <c r="K2" s="3" t="s">
        <v>5</v>
      </c>
      <c r="L2" s="3" t="s">
        <v>6</v>
      </c>
      <c r="M2" s="3" t="s">
        <v>20</v>
      </c>
      <c r="N2" t="s">
        <v>7</v>
      </c>
      <c r="O2" s="3" t="s">
        <v>41</v>
      </c>
      <c r="P2" s="3" t="s">
        <v>39</v>
      </c>
      <c r="Q2" s="3" t="s">
        <v>43</v>
      </c>
      <c r="R2" s="3" t="s">
        <v>44</v>
      </c>
    </row>
    <row r="3" spans="1:18" ht="15.75">
      <c r="A3" s="3" t="s">
        <v>4</v>
      </c>
      <c r="B3" s="64">
        <v>553</v>
      </c>
      <c r="C3" s="8">
        <f>B3/B$7</f>
        <v>0.23176865046102263</v>
      </c>
      <c r="E3" s="20" t="s">
        <v>21</v>
      </c>
      <c r="F3" s="11">
        <f>$A$10/2</f>
        <v>0.1585</v>
      </c>
      <c r="G3" s="12">
        <f>$A$10/2</f>
        <v>0.1585</v>
      </c>
      <c r="H3" s="12">
        <f>(1-$A$10)/2</f>
        <v>0.3415</v>
      </c>
      <c r="I3" s="12">
        <f>(1-$A$10)/2</f>
        <v>0.3415</v>
      </c>
      <c r="J3" s="12">
        <f aca="true" t="shared" si="0" ref="J3:J8">$B$3/$B$7</f>
        <v>0.23176865046102263</v>
      </c>
      <c r="K3" s="12">
        <f aca="true" t="shared" si="1" ref="K3:K8">$B$4/$B$7</f>
        <v>0.1978206202849958</v>
      </c>
      <c r="L3" s="12">
        <f aca="true" t="shared" si="2" ref="L3:L8">$B$5/$B$7</f>
        <v>0.26110645431684826</v>
      </c>
      <c r="M3" s="13">
        <f aca="true" t="shared" si="3" ref="M3:M8">$B$6/$B$7</f>
        <v>0.30930427493713325</v>
      </c>
      <c r="N3" s="31">
        <f aca="true" t="shared" si="4" ref="N3:N8">((J3-F3)^2)+((K3-G3)^2)+((L3-H3)^2)+((M3-I3)^2)</f>
        <v>0.014414093219809052</v>
      </c>
      <c r="O3" s="45">
        <f>J3+K3</f>
        <v>0.42958927074601844</v>
      </c>
      <c r="P3" s="46">
        <f aca="true" t="shared" si="5" ref="P3:P8">1-O3</f>
        <v>0.5704107292539815</v>
      </c>
      <c r="Q3" s="42">
        <f>IF(A&gt;B,B/A,A/B)</f>
        <v>0.8535262206148282</v>
      </c>
      <c r="R3" s="33">
        <f>IF(Cz&gt;D,D/Cz,Cz/D)</f>
        <v>0.8441734417344173</v>
      </c>
    </row>
    <row r="4" spans="1:18" ht="15.75">
      <c r="A4" s="3" t="s">
        <v>5</v>
      </c>
      <c r="B4" s="65">
        <v>472</v>
      </c>
      <c r="C4" s="8">
        <f>B4/B$7</f>
        <v>0.1978206202849958</v>
      </c>
      <c r="E4" s="21" t="s">
        <v>22</v>
      </c>
      <c r="F4" s="14">
        <f>$A$10/2</f>
        <v>0.1585</v>
      </c>
      <c r="G4" s="15">
        <f>(1-$A$10)/2</f>
        <v>0.3415</v>
      </c>
      <c r="H4" s="15">
        <f>$A$10/2</f>
        <v>0.1585</v>
      </c>
      <c r="I4" s="15">
        <f>(1-$A$10)/2</f>
        <v>0.3415</v>
      </c>
      <c r="J4" s="15">
        <f t="shared" si="0"/>
        <v>0.23176865046102263</v>
      </c>
      <c r="K4" s="15">
        <f t="shared" si="1"/>
        <v>0.1978206202849958</v>
      </c>
      <c r="L4" s="15">
        <f t="shared" si="2"/>
        <v>0.26110645431684826</v>
      </c>
      <c r="M4" s="16">
        <f t="shared" si="3"/>
        <v>0.30930427493713325</v>
      </c>
      <c r="N4" s="34">
        <f t="shared" si="4"/>
        <v>0.037576708475467055</v>
      </c>
      <c r="O4" s="47">
        <f>J4+L4</f>
        <v>0.4928751047778709</v>
      </c>
      <c r="P4" s="48">
        <f t="shared" si="5"/>
        <v>0.5071248952221291</v>
      </c>
      <c r="Q4" s="43">
        <f>IF(A&gt;Cz,Cz/A,A/Cz)</f>
        <v>0.8876404494382023</v>
      </c>
      <c r="R4" s="36">
        <f>IF(B&gt;D,D/B,B/D)</f>
        <v>0.6395663956639567</v>
      </c>
    </row>
    <row r="5" spans="1:18" ht="15.75">
      <c r="A5" s="3" t="s">
        <v>6</v>
      </c>
      <c r="B5" s="65">
        <v>623</v>
      </c>
      <c r="C5" s="8">
        <f>B5/B$7</f>
        <v>0.26110645431684826</v>
      </c>
      <c r="E5" s="21" t="s">
        <v>23</v>
      </c>
      <c r="F5" s="14">
        <f>$A$10/2</f>
        <v>0.1585</v>
      </c>
      <c r="G5" s="15">
        <f>(1-$A$10)/2</f>
        <v>0.3415</v>
      </c>
      <c r="H5" s="15">
        <f>(1-$A$10)/2</f>
        <v>0.3415</v>
      </c>
      <c r="I5" s="15">
        <f>$A$10/2</f>
        <v>0.1585</v>
      </c>
      <c r="J5" s="15">
        <f t="shared" si="0"/>
        <v>0.23176865046102263</v>
      </c>
      <c r="K5" s="15">
        <f t="shared" si="1"/>
        <v>0.1978206202849958</v>
      </c>
      <c r="L5" s="15">
        <f t="shared" si="2"/>
        <v>0.26110645431684826</v>
      </c>
      <c r="M5" s="16">
        <f t="shared" si="3"/>
        <v>0.30930427493713325</v>
      </c>
      <c r="N5" s="34">
        <f t="shared" si="4"/>
        <v>0.055217110822491366</v>
      </c>
      <c r="O5" s="47">
        <f>J5+M5</f>
        <v>0.5410729253981559</v>
      </c>
      <c r="P5" s="48">
        <f t="shared" si="5"/>
        <v>0.4589270746018441</v>
      </c>
      <c r="Q5" s="43">
        <f>IF(A&gt;D,D/A,A/D)</f>
        <v>0.7493224932249323</v>
      </c>
      <c r="R5" s="36">
        <f>IF(B&gt;Cz,Cz/B,B/Cz)</f>
        <v>0.7576243980738363</v>
      </c>
    </row>
    <row r="6" spans="1:18" ht="15.75">
      <c r="A6" s="3" t="s">
        <v>20</v>
      </c>
      <c r="B6" s="64">
        <v>738</v>
      </c>
      <c r="C6" s="8">
        <f>B6/B$7</f>
        <v>0.30930427493713325</v>
      </c>
      <c r="E6" s="21" t="s">
        <v>24</v>
      </c>
      <c r="F6" s="14">
        <f>(1-$A$10)/2</f>
        <v>0.3415</v>
      </c>
      <c r="G6" s="15">
        <f>$A$10/2</f>
        <v>0.1585</v>
      </c>
      <c r="H6" s="15">
        <f>$A$10/2</f>
        <v>0.1585</v>
      </c>
      <c r="I6" s="15">
        <f>(1-$A$10)/2</f>
        <v>0.3415</v>
      </c>
      <c r="J6" s="15">
        <f t="shared" si="0"/>
        <v>0.23176865046102263</v>
      </c>
      <c r="K6" s="15">
        <f t="shared" si="1"/>
        <v>0.1978206202849958</v>
      </c>
      <c r="L6" s="15">
        <f t="shared" si="2"/>
        <v>0.26110645431684826</v>
      </c>
      <c r="M6" s="16">
        <f t="shared" si="3"/>
        <v>0.30930427493713325</v>
      </c>
      <c r="N6" s="34">
        <f t="shared" si="4"/>
        <v>0.025151729431041235</v>
      </c>
      <c r="O6" s="47">
        <f>K6+L6</f>
        <v>0.45892707460184406</v>
      </c>
      <c r="P6" s="48">
        <f t="shared" si="5"/>
        <v>0.5410729253981559</v>
      </c>
      <c r="Q6" s="43">
        <f>IF(B&gt;Cz,Cz/B,B/Cz)</f>
        <v>0.7576243980738363</v>
      </c>
      <c r="R6" s="36">
        <f>IF(A&gt;D,D/A,A/D)</f>
        <v>0.7493224932249323</v>
      </c>
    </row>
    <row r="7" spans="1:18" ht="12.75">
      <c r="A7" s="4" t="s">
        <v>34</v>
      </c>
      <c r="B7" s="4">
        <f>SUM(B3:B6)</f>
        <v>2386</v>
      </c>
      <c r="C7" s="4"/>
      <c r="E7" s="21" t="s">
        <v>25</v>
      </c>
      <c r="F7" s="14">
        <f>(1-$A$10)/2</f>
        <v>0.3415</v>
      </c>
      <c r="G7" s="15">
        <f>$A$10/2</f>
        <v>0.1585</v>
      </c>
      <c r="H7" s="15">
        <f>(1-$A$10)/2</f>
        <v>0.3415</v>
      </c>
      <c r="I7" s="15">
        <f>$A$10/2</f>
        <v>0.1585</v>
      </c>
      <c r="J7" s="15">
        <f t="shared" si="0"/>
        <v>0.23176865046102263</v>
      </c>
      <c r="K7" s="15">
        <f t="shared" si="1"/>
        <v>0.1978206202849958</v>
      </c>
      <c r="L7" s="15">
        <f t="shared" si="2"/>
        <v>0.26110645431684826</v>
      </c>
      <c r="M7" s="16">
        <f t="shared" si="3"/>
        <v>0.30930427493713325</v>
      </c>
      <c r="N7" s="34">
        <f t="shared" si="4"/>
        <v>0.04279213177806555</v>
      </c>
      <c r="O7" s="47">
        <f>K7+M7</f>
        <v>0.507124895222129</v>
      </c>
      <c r="P7" s="48">
        <f t="shared" si="5"/>
        <v>0.492875104777871</v>
      </c>
      <c r="Q7" s="43">
        <f>IF(B&gt;D,D/B,B/D)</f>
        <v>0.6395663956639567</v>
      </c>
      <c r="R7" s="36">
        <f>IF(A&gt;Cz,Cz/A,A/Cz)</f>
        <v>0.8876404494382023</v>
      </c>
    </row>
    <row r="8" spans="5:18" ht="13.5" thickBot="1">
      <c r="E8" s="22" t="s">
        <v>26</v>
      </c>
      <c r="F8" s="17">
        <f>(1-$A$10)/2</f>
        <v>0.3415</v>
      </c>
      <c r="G8" s="18">
        <f>(1-$A$10)/2</f>
        <v>0.3415</v>
      </c>
      <c r="H8" s="18">
        <f>$A$10/2</f>
        <v>0.1585</v>
      </c>
      <c r="I8" s="18">
        <f>$A$10/2</f>
        <v>0.1585</v>
      </c>
      <c r="J8" s="18">
        <f t="shared" si="0"/>
        <v>0.23176865046102263</v>
      </c>
      <c r="K8" s="18">
        <f t="shared" si="1"/>
        <v>0.1978206202849958</v>
      </c>
      <c r="L8" s="18">
        <f t="shared" si="2"/>
        <v>0.26110645431684826</v>
      </c>
      <c r="M8" s="19">
        <f t="shared" si="3"/>
        <v>0.30930427493713325</v>
      </c>
      <c r="N8" s="38">
        <f t="shared" si="4"/>
        <v>0.06595474703372355</v>
      </c>
      <c r="O8" s="49">
        <f>L8+M8</f>
        <v>0.5704107292539815</v>
      </c>
      <c r="P8" s="50">
        <f t="shared" si="5"/>
        <v>0.4295892707460185</v>
      </c>
      <c r="Q8" s="44">
        <f>IF(Cz&gt;D,D/Cz,Cz/D)</f>
        <v>0.8441734417344173</v>
      </c>
      <c r="R8" s="40">
        <f>IF(A&gt;B,B/A,A/B)</f>
        <v>0.8535262206148282</v>
      </c>
    </row>
    <row r="9" spans="1:2" ht="12.75">
      <c r="A9" s="3" t="s">
        <v>38</v>
      </c>
      <c r="B9" s="3" t="s">
        <v>39</v>
      </c>
    </row>
    <row r="10" spans="1:2" ht="12.75">
      <c r="A10" s="4">
        <v>0.317</v>
      </c>
      <c r="B10" s="4">
        <f>1-A10</f>
        <v>0.683</v>
      </c>
    </row>
    <row r="19" ht="12.75">
      <c r="J19" t="s">
        <v>46</v>
      </c>
    </row>
    <row r="20" ht="12.75">
      <c r="K20" t="s">
        <v>38</v>
      </c>
    </row>
    <row r="21" spans="10:27" ht="12.75">
      <c r="J21" t="s">
        <v>45</v>
      </c>
      <c r="K21" s="4">
        <v>0.1</v>
      </c>
      <c r="L21" s="4">
        <v>0.15</v>
      </c>
      <c r="M21" s="4">
        <v>0.2</v>
      </c>
      <c r="N21" s="4">
        <v>0.25</v>
      </c>
      <c r="O21" s="4">
        <v>0.3</v>
      </c>
      <c r="P21" s="4">
        <v>0.35</v>
      </c>
      <c r="Q21" s="4">
        <v>0.4</v>
      </c>
      <c r="R21" s="4">
        <v>0.45</v>
      </c>
      <c r="S21" s="4">
        <v>0.5</v>
      </c>
      <c r="T21" s="4">
        <v>0.55</v>
      </c>
      <c r="U21" s="4">
        <v>0.6</v>
      </c>
      <c r="V21" s="4">
        <v>0.65</v>
      </c>
      <c r="W21" s="4">
        <v>0.7</v>
      </c>
      <c r="X21" s="4">
        <v>0.75</v>
      </c>
      <c r="Y21" s="4">
        <v>0.8</v>
      </c>
      <c r="Z21" s="4">
        <v>0.85</v>
      </c>
      <c r="AA21" s="4">
        <v>0.9</v>
      </c>
    </row>
    <row r="22" spans="10:27" ht="12.75">
      <c r="J22" s="1" t="s">
        <v>21</v>
      </c>
      <c r="K22">
        <v>0.11036683672358107</v>
      </c>
      <c r="L22" s="5">
        <v>0.07990790964897922</v>
      </c>
      <c r="M22">
        <v>0.05444898257437737</v>
      </c>
      <c r="N22">
        <v>0.03399005549977552</v>
      </c>
      <c r="O22">
        <v>0.01853112842517367</v>
      </c>
      <c r="P22">
        <v>0.008072201350571833</v>
      </c>
      <c r="Q22">
        <v>0.0026132742759699813</v>
      </c>
      <c r="R22">
        <v>0.0021543472013681357</v>
      </c>
      <c r="S22">
        <v>0.006695420126766289</v>
      </c>
      <c r="T22">
        <v>0.016236493052164454</v>
      </c>
      <c r="U22">
        <v>0.030777565977562586</v>
      </c>
      <c r="V22">
        <v>0.05031863890296076</v>
      </c>
      <c r="W22">
        <v>0.07485971182835888</v>
      </c>
      <c r="X22">
        <v>0.10440078475375705</v>
      </c>
      <c r="Y22">
        <v>0.13894185767915523</v>
      </c>
      <c r="Z22">
        <v>0.17848293060455334</v>
      </c>
      <c r="AA22">
        <v>0.22302400352995155</v>
      </c>
    </row>
    <row r="23" spans="10:27" ht="12.75">
      <c r="J23" s="1" t="s">
        <v>22</v>
      </c>
      <c r="K23">
        <v>0.16099550394906303</v>
      </c>
      <c r="L23" s="5">
        <v>0.12420799347127591</v>
      </c>
      <c r="M23">
        <v>0.09242048299348884</v>
      </c>
      <c r="N23">
        <v>0.06563297251570174</v>
      </c>
      <c r="O23">
        <v>0.04384546203791465</v>
      </c>
      <c r="P23">
        <v>0.027057951560127566</v>
      </c>
      <c r="Q23">
        <v>0.015270441082340469</v>
      </c>
      <c r="R23">
        <v>0.008482930604553383</v>
      </c>
      <c r="S23">
        <v>0.006695420126766289</v>
      </c>
      <c r="T23">
        <v>0.009907909648979203</v>
      </c>
      <c r="U23">
        <v>0.018120399171192104</v>
      </c>
      <c r="V23">
        <v>0.031332888693405024</v>
      </c>
      <c r="W23">
        <v>0.049545378215617907</v>
      </c>
      <c r="X23">
        <v>0.07275786773783083</v>
      </c>
      <c r="Y23">
        <v>0.10097035726004377</v>
      </c>
      <c r="Z23">
        <v>0.13418284678225662</v>
      </c>
      <c r="AA23">
        <v>0.17239533630446957</v>
      </c>
    </row>
    <row r="24" spans="10:27" ht="12.75">
      <c r="J24" s="1" t="s">
        <v>23</v>
      </c>
      <c r="K24">
        <v>0.19955376044529105</v>
      </c>
      <c r="L24" s="5">
        <v>0.1579464679054754</v>
      </c>
      <c r="M24">
        <v>0.12133917536565984</v>
      </c>
      <c r="N24">
        <v>0.08973188282584424</v>
      </c>
      <c r="O24">
        <v>0.06312459028602865</v>
      </c>
      <c r="P24">
        <v>0.04151729774621307</v>
      </c>
      <c r="Q24">
        <v>0.024910005206397468</v>
      </c>
      <c r="R24">
        <v>0.013302712666581883</v>
      </c>
      <c r="S24">
        <v>0.006695420126766289</v>
      </c>
      <c r="T24">
        <v>0.005088127586950699</v>
      </c>
      <c r="U24">
        <v>0.008480835047135106</v>
      </c>
      <c r="V24">
        <v>0.016873542507319525</v>
      </c>
      <c r="W24">
        <v>0.030266249967503912</v>
      </c>
      <c r="X24">
        <v>0.04865895742768834</v>
      </c>
      <c r="Y24">
        <v>0.07205166488787276</v>
      </c>
      <c r="Z24">
        <v>0.10044437234805714</v>
      </c>
      <c r="AA24">
        <v>0.13383707980824155</v>
      </c>
    </row>
    <row r="25" spans="10:27" ht="12.75">
      <c r="J25" s="1" t="s">
        <v>24</v>
      </c>
      <c r="K25">
        <v>0.13383707980824155</v>
      </c>
      <c r="L25" s="5">
        <v>0.10044437234805716</v>
      </c>
      <c r="M25">
        <v>0.07205166488787275</v>
      </c>
      <c r="N25">
        <v>0.04865895742768834</v>
      </c>
      <c r="O25">
        <v>0.030266249967503923</v>
      </c>
      <c r="P25">
        <v>0.016873542507319525</v>
      </c>
      <c r="Q25">
        <v>0.008480835047135106</v>
      </c>
      <c r="R25">
        <v>0.005088127586950699</v>
      </c>
      <c r="S25">
        <v>0.006695420126766289</v>
      </c>
      <c r="T25">
        <v>0.013302712666581888</v>
      </c>
      <c r="U25">
        <v>0.024910005206397468</v>
      </c>
      <c r="V25">
        <v>0.04151729774621307</v>
      </c>
      <c r="W25">
        <v>0.06312459028602863</v>
      </c>
      <c r="X25">
        <v>0.08973188282584424</v>
      </c>
      <c r="Y25">
        <v>0.12133917536565987</v>
      </c>
      <c r="Z25">
        <v>0.1579464679054754</v>
      </c>
      <c r="AA25">
        <v>0.19955376044529105</v>
      </c>
    </row>
    <row r="26" spans="10:27" ht="12.75">
      <c r="J26" s="1" t="s">
        <v>25</v>
      </c>
      <c r="K26">
        <v>0.17239533630446957</v>
      </c>
      <c r="L26" s="5">
        <v>0.13418284678225662</v>
      </c>
      <c r="M26">
        <v>0.10097035726004375</v>
      </c>
      <c r="N26">
        <v>0.07275786773783083</v>
      </c>
      <c r="O26">
        <v>0.04954537821561792</v>
      </c>
      <c r="P26">
        <v>0.031332888693405024</v>
      </c>
      <c r="Q26">
        <v>0.018120399171192104</v>
      </c>
      <c r="R26">
        <v>0.0099079096489792</v>
      </c>
      <c r="S26">
        <v>0.006695420126766289</v>
      </c>
      <c r="T26">
        <v>0.008482930604553384</v>
      </c>
      <c r="U26">
        <v>0.015270441082340469</v>
      </c>
      <c r="V26">
        <v>0.027057951560127566</v>
      </c>
      <c r="W26">
        <v>0.04384546203791464</v>
      </c>
      <c r="X26">
        <v>0.06563297251570174</v>
      </c>
      <c r="Y26">
        <v>0.09242048299348886</v>
      </c>
      <c r="Z26">
        <v>0.12420799347127591</v>
      </c>
      <c r="AA26">
        <v>0.16099550394906303</v>
      </c>
    </row>
    <row r="27" spans="10:27" ht="12.75">
      <c r="J27" s="1" t="s">
        <v>26</v>
      </c>
      <c r="K27">
        <v>0.22302400352995155</v>
      </c>
      <c r="L27" s="5">
        <v>0.17848293060455334</v>
      </c>
      <c r="M27">
        <v>0.13894185767915523</v>
      </c>
      <c r="N27">
        <v>0.10440078475375705</v>
      </c>
      <c r="O27">
        <v>0.0748597118283589</v>
      </c>
      <c r="P27">
        <v>0.05031863890296076</v>
      </c>
      <c r="Q27">
        <v>0.030777565977562586</v>
      </c>
      <c r="R27">
        <v>0.016236493052164448</v>
      </c>
      <c r="S27">
        <v>0.006695420126766289</v>
      </c>
      <c r="T27">
        <v>0.002154347201368134</v>
      </c>
      <c r="U27">
        <v>0.0026132742759699813</v>
      </c>
      <c r="V27">
        <v>0.008072201350571833</v>
      </c>
      <c r="W27">
        <v>0.018531128425173665</v>
      </c>
      <c r="X27">
        <v>0.03399005549977552</v>
      </c>
      <c r="Y27">
        <v>0.054448982574377386</v>
      </c>
      <c r="Z27">
        <v>0.0799079096489792</v>
      </c>
      <c r="AA27">
        <v>0.11036683672358107</v>
      </c>
    </row>
  </sheetData>
  <sheetProtection insertColumns="0" insertRows="0" insertHyperlinks="0" deleteColumns="0" deleteRows="0" sort="0" autoFilter="0" pivotTables="0"/>
  <printOptions gridLines="1"/>
  <pageMargins left="0.75" right="0.75" top="1" bottom="1" header="0.5" footer="0.5"/>
  <pageSetup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PG</cp:lastModifiedBy>
  <dcterms:created xsi:type="dcterms:W3CDTF">2008-02-21T13:53:37Z</dcterms:created>
  <dcterms:modified xsi:type="dcterms:W3CDTF">2009-06-24T18:32:37Z</dcterms:modified>
  <cp:category/>
  <cp:version/>
  <cp:contentType/>
  <cp:contentStatus/>
</cp:coreProperties>
</file>